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аршуто Ольга Анатольевна\2026 на сайт\на сайт от 06.05.2026\"/>
    </mc:Choice>
  </mc:AlternateContent>
  <xr:revisionPtr revIDLastSave="0" documentId="13_ncr:1_{0916BFCA-5F3F-4DAE-8026-26C3B2DF2277}" xr6:coauthVersionLast="47" xr6:coauthVersionMax="47" xr10:uidLastSave="{00000000-0000-0000-0000-000000000000}"/>
  <bookViews>
    <workbookView xWindow="-120" yWindow="-120" windowWidth="29040" windowHeight="15720" tabRatio="359" xr2:uid="{00000000-000D-0000-FFFF-FFFF00000000}"/>
  </bookViews>
  <sheets>
    <sheet name="2026" sheetId="3" r:id="rId1"/>
    <sheet name="счет" sheetId="5" r:id="rId2"/>
  </sheets>
  <definedNames>
    <definedName name="_xlnm._FilterDatabase" localSheetId="0" hidden="1">'2026'!$A$10:$W$242</definedName>
    <definedName name="_xlnm.Print_Area" localSheetId="0">'2026'!$A$1:$N$242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4" i="3" l="1"/>
  <c r="A175" i="3" s="1"/>
  <c r="A176" i="3" s="1"/>
  <c r="CC14" i="5" l="1"/>
  <c r="CA14" i="5"/>
  <c r="BZ14" i="5"/>
  <c r="BX14" i="5"/>
  <c r="BV14" i="5"/>
  <c r="BU14" i="5"/>
  <c r="BS14" i="5"/>
  <c r="BQ14" i="5"/>
  <c r="BP14" i="5"/>
  <c r="BN14" i="5"/>
  <c r="BL14" i="5"/>
  <c r="BK14" i="5"/>
  <c r="BI14" i="5"/>
  <c r="BG14" i="5"/>
  <c r="BF14" i="5"/>
  <c r="AT14" i="5"/>
  <c r="AR14" i="5"/>
  <c r="AQ14" i="5"/>
  <c r="AO14" i="5"/>
  <c r="AM14" i="5"/>
  <c r="AL14" i="5"/>
  <c r="AJ14" i="5"/>
  <c r="AH14" i="5"/>
  <c r="AG14" i="5"/>
  <c r="Z14" i="5"/>
  <c r="X14" i="5"/>
  <c r="W14" i="5"/>
  <c r="U14" i="5"/>
  <c r="S14" i="5"/>
  <c r="R14" i="5"/>
  <c r="P14" i="5"/>
  <c r="N14" i="5"/>
  <c r="M14" i="5"/>
  <c r="CC13" i="5"/>
  <c r="CA13" i="5"/>
  <c r="BZ13" i="5"/>
  <c r="BX13" i="5"/>
  <c r="BV13" i="5"/>
  <c r="BU13" i="5"/>
  <c r="BS13" i="5"/>
  <c r="BQ13" i="5"/>
  <c r="BP13" i="5"/>
  <c r="BN13" i="5"/>
  <c r="BL13" i="5"/>
  <c r="BK13" i="5"/>
  <c r="BI13" i="5"/>
  <c r="BG13" i="5"/>
  <c r="BF13" i="5"/>
  <c r="AT13" i="5"/>
  <c r="AR13" i="5"/>
  <c r="AQ13" i="5"/>
  <c r="AO13" i="5"/>
  <c r="AM13" i="5"/>
  <c r="AL13" i="5"/>
  <c r="AJ13" i="5"/>
  <c r="AH13" i="5"/>
  <c r="AG13" i="5"/>
  <c r="Z13" i="5"/>
  <c r="X13" i="5"/>
  <c r="W13" i="5"/>
  <c r="U13" i="5"/>
  <c r="S13" i="5"/>
  <c r="R13" i="5"/>
  <c r="P13" i="5"/>
  <c r="N13" i="5"/>
  <c r="M13" i="5"/>
  <c r="CC12" i="5"/>
  <c r="CA12" i="5"/>
  <c r="BZ12" i="5"/>
  <c r="BX12" i="5"/>
  <c r="BV12" i="5"/>
  <c r="BU12" i="5"/>
  <c r="BS12" i="5"/>
  <c r="BQ12" i="5"/>
  <c r="BP12" i="5"/>
  <c r="BN12" i="5"/>
  <c r="BL12" i="5"/>
  <c r="BK12" i="5"/>
  <c r="BI12" i="5"/>
  <c r="BG12" i="5"/>
  <c r="BF12" i="5"/>
  <c r="AT12" i="5"/>
  <c r="AR12" i="5"/>
  <c r="AQ12" i="5"/>
  <c r="AO12" i="5"/>
  <c r="AM12" i="5"/>
  <c r="AL12" i="5"/>
  <c r="AJ12" i="5"/>
  <c r="AH12" i="5"/>
  <c r="AG12" i="5"/>
  <c r="Z12" i="5"/>
  <c r="X12" i="5"/>
  <c r="W12" i="5"/>
  <c r="U12" i="5"/>
  <c r="S12" i="5"/>
  <c r="R12" i="5"/>
  <c r="P12" i="5"/>
  <c r="N12" i="5"/>
  <c r="M12" i="5"/>
  <c r="CF11" i="5"/>
  <c r="CC11" i="5"/>
  <c r="CA11" i="5"/>
  <c r="BZ11" i="5"/>
  <c r="BX11" i="5"/>
  <c r="BV11" i="5"/>
  <c r="BU11" i="5"/>
  <c r="BS11" i="5"/>
  <c r="BQ11" i="5"/>
  <c r="BP11" i="5"/>
  <c r="BN11" i="5"/>
  <c r="BL11" i="5"/>
  <c r="BK11" i="5"/>
  <c r="BI11" i="5"/>
  <c r="BG11" i="5"/>
  <c r="BF11" i="5"/>
  <c r="AT11" i="5"/>
  <c r="AR11" i="5"/>
  <c r="AQ11" i="5"/>
  <c r="AO11" i="5"/>
  <c r="AM11" i="5"/>
  <c r="AL11" i="5"/>
  <c r="AJ11" i="5"/>
  <c r="AH11" i="5"/>
  <c r="AG11" i="5"/>
  <c r="Z11" i="5"/>
  <c r="X11" i="5"/>
  <c r="W11" i="5"/>
  <c r="U11" i="5"/>
  <c r="S11" i="5"/>
  <c r="R11" i="5"/>
  <c r="P11" i="5"/>
  <c r="N11" i="5"/>
  <c r="M11" i="5"/>
  <c r="CC9" i="5"/>
  <c r="CA9" i="5"/>
  <c r="BZ9" i="5"/>
  <c r="BX9" i="5"/>
  <c r="BV9" i="5"/>
  <c r="BU9" i="5"/>
  <c r="BS9" i="5"/>
  <c r="BQ9" i="5"/>
  <c r="BP9" i="5"/>
  <c r="BN9" i="5"/>
  <c r="BL9" i="5"/>
  <c r="BK9" i="5"/>
  <c r="BI9" i="5"/>
  <c r="BG9" i="5"/>
  <c r="BF9" i="5"/>
  <c r="AT9" i="5"/>
  <c r="AR9" i="5"/>
  <c r="AQ9" i="5"/>
  <c r="AO9" i="5"/>
  <c r="AM9" i="5"/>
  <c r="AL9" i="5"/>
  <c r="AJ9" i="5"/>
  <c r="AH9" i="5"/>
  <c r="AG9" i="5"/>
  <c r="Z9" i="5"/>
  <c r="X9" i="5"/>
  <c r="W9" i="5"/>
  <c r="U9" i="5"/>
  <c r="S9" i="5"/>
  <c r="R9" i="5"/>
  <c r="P9" i="5"/>
  <c r="N9" i="5"/>
  <c r="M9" i="5"/>
  <c r="CC8" i="5"/>
  <c r="CA8" i="5"/>
  <c r="BZ8" i="5"/>
  <c r="BX8" i="5"/>
  <c r="BV8" i="5"/>
  <c r="BU8" i="5"/>
  <c r="BS8" i="5"/>
  <c r="BQ8" i="5"/>
  <c r="BP8" i="5"/>
  <c r="BN8" i="5"/>
  <c r="BL8" i="5"/>
  <c r="BK8" i="5"/>
  <c r="BI8" i="5"/>
  <c r="BG8" i="5"/>
  <c r="BF8" i="5"/>
  <c r="AT8" i="5"/>
  <c r="AR8" i="5"/>
  <c r="AQ8" i="5"/>
  <c r="AO8" i="5"/>
  <c r="AM8" i="5"/>
  <c r="AL8" i="5"/>
  <c r="AJ8" i="5"/>
  <c r="AH8" i="5"/>
  <c r="AG8" i="5"/>
  <c r="Z8" i="5"/>
  <c r="X8" i="5"/>
  <c r="W8" i="5"/>
  <c r="U8" i="5"/>
  <c r="S8" i="5"/>
  <c r="R8" i="5"/>
  <c r="P8" i="5"/>
  <c r="N8" i="5"/>
  <c r="M8" i="5"/>
  <c r="CC7" i="5"/>
  <c r="CA7" i="5"/>
  <c r="BZ7" i="5"/>
  <c r="BX7" i="5"/>
  <c r="BV7" i="5"/>
  <c r="BU7" i="5"/>
  <c r="BS7" i="5"/>
  <c r="BQ7" i="5"/>
  <c r="BP7" i="5"/>
  <c r="BN7" i="5"/>
  <c r="BL7" i="5"/>
  <c r="BK7" i="5"/>
  <c r="BI7" i="5"/>
  <c r="BG7" i="5"/>
  <c r="BF7" i="5"/>
  <c r="AT7" i="5"/>
  <c r="AR7" i="5"/>
  <c r="AQ7" i="5"/>
  <c r="AO7" i="5"/>
  <c r="AM7" i="5"/>
  <c r="AL7" i="5"/>
  <c r="AJ7" i="5"/>
  <c r="AH7" i="5"/>
  <c r="AG7" i="5"/>
  <c r="Z7" i="5"/>
  <c r="X7" i="5"/>
  <c r="W7" i="5"/>
  <c r="U7" i="5"/>
  <c r="S7" i="5"/>
  <c r="R7" i="5"/>
  <c r="P7" i="5"/>
  <c r="N7" i="5"/>
  <c r="M7" i="5"/>
  <c r="CF6" i="5"/>
  <c r="CC6" i="5"/>
  <c r="CA6" i="5"/>
  <c r="BZ6" i="5"/>
  <c r="BX6" i="5"/>
  <c r="BV6" i="5"/>
  <c r="BU6" i="5"/>
  <c r="BS6" i="5"/>
  <c r="BQ6" i="5"/>
  <c r="BP6" i="5"/>
  <c r="BN6" i="5"/>
  <c r="BL6" i="5"/>
  <c r="BK6" i="5"/>
  <c r="BI6" i="5"/>
  <c r="BG6" i="5"/>
  <c r="BF6" i="5"/>
  <c r="AT6" i="5"/>
  <c r="AR6" i="5"/>
  <c r="AQ6" i="5"/>
  <c r="AO6" i="5"/>
  <c r="AM6" i="5"/>
  <c r="AL6" i="5"/>
  <c r="AJ6" i="5"/>
  <c r="AH6" i="5"/>
  <c r="AG6" i="5"/>
  <c r="Z6" i="5"/>
  <c r="X6" i="5"/>
  <c r="W6" i="5"/>
  <c r="U6" i="5"/>
  <c r="S6" i="5"/>
  <c r="R6" i="5"/>
  <c r="P6" i="5"/>
  <c r="N6" i="5"/>
  <c r="M6" i="5"/>
  <c r="DA3" i="5"/>
  <c r="CV3" i="5"/>
  <c r="CQ3" i="5"/>
  <c r="CL3" i="5"/>
  <c r="CE3" i="5"/>
  <c r="BZ3" i="5"/>
  <c r="BU3" i="5"/>
  <c r="BP3" i="5"/>
  <c r="BK3" i="5"/>
  <c r="BF3" i="5"/>
  <c r="BA3" i="5"/>
  <c r="AV3" i="5"/>
  <c r="AQ3" i="5"/>
  <c r="AL3" i="5"/>
  <c r="AG3" i="5"/>
  <c r="AB3" i="5"/>
  <c r="W3" i="5"/>
  <c r="R3" i="5"/>
  <c r="M3" i="5"/>
  <c r="H3" i="5"/>
  <c r="CH10" i="5" l="1"/>
  <c r="CF10" i="5"/>
  <c r="CE10" i="5"/>
  <c r="CH5" i="5" l="1"/>
  <c r="CF5" i="5"/>
  <c r="CE5" i="5"/>
  <c r="CG10" i="5" l="1"/>
  <c r="CD10" i="5"/>
  <c r="B17" i="5" s="1"/>
  <c r="CG5" i="5"/>
  <c r="CD5" i="5"/>
  <c r="B16" i="5" s="1"/>
  <c r="O7" i="5" l="1"/>
  <c r="BY14" i="5"/>
  <c r="BT13" i="5" l="1"/>
  <c r="Q12" i="5"/>
  <c r="Q13" i="5"/>
  <c r="BT11" i="5"/>
  <c r="AF13" i="5"/>
  <c r="BJ13" i="5"/>
  <c r="BM12" i="5"/>
  <c r="AS14" i="5"/>
  <c r="BW14" i="5"/>
  <c r="Y14" i="5"/>
  <c r="CB14" i="5"/>
  <c r="CQ9" i="5"/>
  <c r="DD9" i="5"/>
  <c r="Z10" i="5"/>
  <c r="CC10" i="5"/>
  <c r="CQ14" i="5"/>
  <c r="DD14" i="5"/>
  <c r="CB9" i="5"/>
  <c r="AE13" i="5"/>
  <c r="BM13" i="5"/>
  <c r="Q14" i="5"/>
  <c r="BT14" i="5"/>
  <c r="Y9" i="5"/>
  <c r="BH9" i="5"/>
  <c r="BB12" i="5"/>
  <c r="AW12" i="5" s="1"/>
  <c r="BH8" i="5"/>
  <c r="BM9" i="5"/>
  <c r="CA10" i="5"/>
  <c r="AQ10" i="5"/>
  <c r="AP14" i="5"/>
  <c r="AE12" i="5"/>
  <c r="BH12" i="5"/>
  <c r="CB12" i="5"/>
  <c r="AI13" i="5"/>
  <c r="BM8" i="5"/>
  <c r="X10" i="5"/>
  <c r="BU10" i="5"/>
  <c r="Y13" i="5"/>
  <c r="BH13" i="5"/>
  <c r="BB13" i="5"/>
  <c r="AW13" i="5" s="1"/>
  <c r="CB13" i="5"/>
  <c r="BM14" i="5"/>
  <c r="BQ10" i="5"/>
  <c r="BX10" i="5"/>
  <c r="U10" i="5"/>
  <c r="AT10" i="5"/>
  <c r="BK10" i="5"/>
  <c r="BB14" i="5"/>
  <c r="AW14" i="5" s="1"/>
  <c r="AE14" i="5"/>
  <c r="BJ14" i="5"/>
  <c r="CT9" i="5"/>
  <c r="DA9" i="5"/>
  <c r="P10" i="5"/>
  <c r="W10" i="5"/>
  <c r="BF10" i="5"/>
  <c r="BZ10" i="5"/>
  <c r="CT14" i="5"/>
  <c r="DA14" i="5"/>
  <c r="AI9" i="5"/>
  <c r="AI14" i="5"/>
  <c r="R10" i="5"/>
  <c r="N10" i="5"/>
  <c r="AM10" i="5"/>
  <c r="CQ6" i="5"/>
  <c r="DD6" i="5"/>
  <c r="CQ7" i="5"/>
  <c r="DD7" i="5"/>
  <c r="CV8" i="5"/>
  <c r="CV9" i="5"/>
  <c r="DB9" i="5"/>
  <c r="Q11" i="5"/>
  <c r="CT6" i="5"/>
  <c r="DA6" i="5"/>
  <c r="CT7" i="5"/>
  <c r="DA7" i="5"/>
  <c r="CY8" i="5"/>
  <c r="CR9" i="5"/>
  <c r="CY9" i="5"/>
  <c r="CR6" i="5"/>
  <c r="CV6" i="5"/>
  <c r="CY6" i="5"/>
  <c r="DB6" i="5"/>
  <c r="CR7" i="5"/>
  <c r="CV7" i="5"/>
  <c r="CY7" i="5"/>
  <c r="DB7" i="5"/>
  <c r="CQ8" i="5"/>
  <c r="CT8" i="5"/>
  <c r="CW8" i="5"/>
  <c r="DA8" i="5"/>
  <c r="DD8" i="5"/>
  <c r="BB11" i="5"/>
  <c r="AW11" i="5" s="1"/>
  <c r="CW6" i="5"/>
  <c r="CW7" i="5"/>
  <c r="CR8" i="5"/>
  <c r="DB8" i="5"/>
  <c r="CW9" i="5"/>
  <c r="CW14" i="5"/>
  <c r="CR11" i="5"/>
  <c r="CV11" i="5"/>
  <c r="DB11" i="5"/>
  <c r="CQ12" i="5"/>
  <c r="CT12" i="5"/>
  <c r="CW12" i="5"/>
  <c r="DA12" i="5"/>
  <c r="DD12" i="5"/>
  <c r="CR13" i="5"/>
  <c r="CV13" i="5"/>
  <c r="CY13" i="5"/>
  <c r="DB13" i="5"/>
  <c r="AO10" i="5"/>
  <c r="CY11" i="5"/>
  <c r="AH10" i="5"/>
  <c r="CQ11" i="5"/>
  <c r="CT11" i="5"/>
  <c r="CW11" i="5"/>
  <c r="DA11" i="5"/>
  <c r="DD11" i="5"/>
  <c r="CR12" i="5"/>
  <c r="CV12" i="5"/>
  <c r="CY12" i="5"/>
  <c r="DB12" i="5"/>
  <c r="CQ13" i="5"/>
  <c r="CT13" i="5"/>
  <c r="CW13" i="5"/>
  <c r="DA13" i="5"/>
  <c r="DD13" i="5"/>
  <c r="CR14" i="5"/>
  <c r="CV14" i="5"/>
  <c r="CY14" i="5"/>
  <c r="DB14" i="5"/>
  <c r="BH7" i="5"/>
  <c r="BM7" i="5"/>
  <c r="CB8" i="5"/>
  <c r="Y12" i="5"/>
  <c r="AS9" i="5"/>
  <c r="BD11" i="5"/>
  <c r="AY11" i="5" s="1"/>
  <c r="BO11" i="5"/>
  <c r="AK12" i="5"/>
  <c r="BD12" i="5"/>
  <c r="AY12" i="5" s="1"/>
  <c r="H13" i="5"/>
  <c r="AI7" i="5"/>
  <c r="AI8" i="5"/>
  <c r="AN11" i="5"/>
  <c r="O14" i="5"/>
  <c r="BJ11" i="5"/>
  <c r="T6" i="5"/>
  <c r="AS6" i="5"/>
  <c r="BR6" i="5"/>
  <c r="BW6" i="5"/>
  <c r="T7" i="5"/>
  <c r="AN7" i="5"/>
  <c r="AS7" i="5"/>
  <c r="BR7" i="5"/>
  <c r="BW7" i="5"/>
  <c r="O8" i="5"/>
  <c r="T8" i="5"/>
  <c r="AN8" i="5"/>
  <c r="AS8" i="5"/>
  <c r="BR8" i="5"/>
  <c r="BW8" i="5"/>
  <c r="O9" i="5"/>
  <c r="T9" i="5"/>
  <c r="AN9" i="5"/>
  <c r="BR9" i="5"/>
  <c r="BW9" i="5"/>
  <c r="Y6" i="5"/>
  <c r="BH6" i="5"/>
  <c r="Y7" i="5"/>
  <c r="CB7" i="5"/>
  <c r="Y8" i="5"/>
  <c r="AI6" i="5"/>
  <c r="BM6" i="5"/>
  <c r="BN10" i="5"/>
  <c r="BJ12" i="5"/>
  <c r="T11" i="5"/>
  <c r="AC11" i="5"/>
  <c r="BW11" i="5"/>
  <c r="T12" i="5"/>
  <c r="V12" i="5"/>
  <c r="AS12" i="5"/>
  <c r="BR12" i="5"/>
  <c r="BY12" i="5"/>
  <c r="V13" i="5"/>
  <c r="AS13" i="5"/>
  <c r="BE13" i="5"/>
  <c r="BO13" i="5"/>
  <c r="BW13" i="5"/>
  <c r="BY13" i="5"/>
  <c r="V14" i="5"/>
  <c r="BR14" i="5"/>
  <c r="K14" i="5"/>
  <c r="BS10" i="5"/>
  <c r="AP11" i="5"/>
  <c r="O13" i="5"/>
  <c r="K12" i="5"/>
  <c r="BE12" i="5"/>
  <c r="Y11" i="5"/>
  <c r="BH11" i="5"/>
  <c r="I13" i="5"/>
  <c r="I14" i="5"/>
  <c r="BE11" i="5"/>
  <c r="BG10" i="5"/>
  <c r="BO14" i="5"/>
  <c r="AC12" i="5"/>
  <c r="BE14" i="5"/>
  <c r="O6" i="5"/>
  <c r="AN6" i="5"/>
  <c r="K13" i="5"/>
  <c r="CB6" i="5"/>
  <c r="BR11" i="5"/>
  <c r="AN13" i="5"/>
  <c r="BR13" i="5"/>
  <c r="T14" i="5"/>
  <c r="BD14" i="5"/>
  <c r="AY14" i="5" s="1"/>
  <c r="BV10" i="5"/>
  <c r="V11" i="5"/>
  <c r="I12" i="5"/>
  <c r="AB13" i="5"/>
  <c r="L14" i="5"/>
  <c r="T13" i="5"/>
  <c r="AN14" i="5"/>
  <c r="I11" i="5"/>
  <c r="AN12" i="5"/>
  <c r="L13" i="5"/>
  <c r="S10" i="5"/>
  <c r="BO12" i="5"/>
  <c r="BD13" i="5"/>
  <c r="AY13" i="5" s="1"/>
  <c r="BI10" i="5"/>
  <c r="AB11" i="5"/>
  <c r="BA12" i="5"/>
  <c r="AV12" i="5" s="1"/>
  <c r="L11" i="5"/>
  <c r="M10" i="5"/>
  <c r="H11" i="5"/>
  <c r="O11" i="5"/>
  <c r="AG10" i="5"/>
  <c r="AL10" i="5"/>
  <c r="AF11" i="5"/>
  <c r="AK11" i="5"/>
  <c r="AS11" i="5"/>
  <c r="BT12" i="5"/>
  <c r="BW12" i="5"/>
  <c r="BY11" i="5"/>
  <c r="CB11" i="5"/>
  <c r="K11" i="5"/>
  <c r="AI11" i="5"/>
  <c r="BA11" i="5"/>
  <c r="AE11" i="5"/>
  <c r="AJ10" i="5"/>
  <c r="AR10" i="5"/>
  <c r="BM11" i="5"/>
  <c r="BL10" i="5"/>
  <c r="L12" i="5"/>
  <c r="H12" i="5"/>
  <c r="O12" i="5"/>
  <c r="AF12" i="5"/>
  <c r="AB12" i="5"/>
  <c r="AI12" i="5"/>
  <c r="BP10" i="5"/>
  <c r="AP12" i="5"/>
  <c r="AC13" i="5"/>
  <c r="AK13" i="5"/>
  <c r="BA13" i="5"/>
  <c r="H14" i="5"/>
  <c r="AB14" i="5"/>
  <c r="AF14" i="5"/>
  <c r="BH14" i="5"/>
  <c r="AP13" i="5"/>
  <c r="AC14" i="5"/>
  <c r="AK14" i="5"/>
  <c r="BA14" i="5"/>
  <c r="A33" i="3"/>
  <c r="A34" i="3" s="1"/>
  <c r="A36" i="3" s="1"/>
  <c r="V10" i="5" l="1"/>
  <c r="A38" i="3"/>
  <c r="A39" i="3" s="1"/>
  <c r="A40" i="3" s="1"/>
  <c r="J13" i="5"/>
  <c r="CP9" i="5"/>
  <c r="CP14" i="5"/>
  <c r="CS9" i="5"/>
  <c r="Q10" i="5"/>
  <c r="DC7" i="5"/>
  <c r="AS10" i="5"/>
  <c r="CZ14" i="5"/>
  <c r="AA13" i="5"/>
  <c r="K10" i="5"/>
  <c r="BY10" i="5"/>
  <c r="CZ9" i="5"/>
  <c r="AP10" i="5"/>
  <c r="CZ6" i="5"/>
  <c r="DC14" i="5"/>
  <c r="Y10" i="5"/>
  <c r="CZ12" i="5"/>
  <c r="BJ10" i="5"/>
  <c r="AA12" i="5"/>
  <c r="CX7" i="5"/>
  <c r="BH10" i="5"/>
  <c r="CL9" i="5"/>
  <c r="BT10" i="5"/>
  <c r="AA14" i="5"/>
  <c r="L10" i="5"/>
  <c r="T10" i="5"/>
  <c r="DA5" i="5"/>
  <c r="DC6" i="5"/>
  <c r="BW10" i="5"/>
  <c r="CO14" i="5"/>
  <c r="CP7" i="5"/>
  <c r="CB10" i="5"/>
  <c r="CS7" i="5"/>
  <c r="CU9" i="5"/>
  <c r="DC9" i="5"/>
  <c r="CZ7" i="5"/>
  <c r="AE10" i="5"/>
  <c r="CX9" i="5"/>
  <c r="CX8" i="5"/>
  <c r="CU8" i="5"/>
  <c r="CP6" i="5"/>
  <c r="CR5" i="5"/>
  <c r="CM9" i="5"/>
  <c r="CX13" i="5"/>
  <c r="CS6" i="5"/>
  <c r="DC12" i="5"/>
  <c r="CM11" i="5"/>
  <c r="CP12" i="5"/>
  <c r="CU7" i="5"/>
  <c r="BC11" i="5"/>
  <c r="AK10" i="5"/>
  <c r="CO12" i="5"/>
  <c r="DC8" i="5"/>
  <c r="CO9" i="5"/>
  <c r="CL7" i="5"/>
  <c r="CZ8" i="5"/>
  <c r="CO8" i="5"/>
  <c r="CP8" i="5"/>
  <c r="CL8" i="5"/>
  <c r="CO6" i="5"/>
  <c r="CY5" i="5"/>
  <c r="DD5" i="5"/>
  <c r="CQ5" i="5"/>
  <c r="CU13" i="5"/>
  <c r="CU6" i="5"/>
  <c r="CV5" i="5"/>
  <c r="CT5" i="5"/>
  <c r="CO7" i="5"/>
  <c r="CL6" i="5"/>
  <c r="CS8" i="5"/>
  <c r="CM8" i="5"/>
  <c r="CX6" i="5"/>
  <c r="CW5" i="5"/>
  <c r="AI10" i="5"/>
  <c r="J11" i="5"/>
  <c r="CX12" i="5"/>
  <c r="CM6" i="5"/>
  <c r="CM7" i="5"/>
  <c r="DB5" i="5"/>
  <c r="CZ13" i="5"/>
  <c r="CO13" i="5"/>
  <c r="CU14" i="5"/>
  <c r="CP13" i="5"/>
  <c r="CL13" i="5"/>
  <c r="CS12" i="5"/>
  <c r="CM12" i="5"/>
  <c r="DA10" i="5"/>
  <c r="CT10" i="5"/>
  <c r="CO11" i="5"/>
  <c r="DC11" i="5"/>
  <c r="CX14" i="5"/>
  <c r="CS13" i="5"/>
  <c r="CS14" i="5"/>
  <c r="CM14" i="5"/>
  <c r="CU12" i="5"/>
  <c r="CZ11" i="5"/>
  <c r="DD10" i="5"/>
  <c r="CX11" i="5"/>
  <c r="CW10" i="5"/>
  <c r="CP11" i="5"/>
  <c r="CQ10" i="5"/>
  <c r="CL11" i="5"/>
  <c r="DB10" i="5"/>
  <c r="CR10" i="5"/>
  <c r="CS11" i="5"/>
  <c r="CL14" i="5"/>
  <c r="DC13" i="5"/>
  <c r="CM13" i="5"/>
  <c r="CL12" i="5"/>
  <c r="CU11" i="5"/>
  <c r="CY10" i="5"/>
  <c r="CV10" i="5"/>
  <c r="G13" i="5"/>
  <c r="AD11" i="5"/>
  <c r="BD10" i="5"/>
  <c r="AY10" i="5" s="1"/>
  <c r="F14" i="5"/>
  <c r="D11" i="5"/>
  <c r="F12" i="5"/>
  <c r="AN10" i="5"/>
  <c r="AZ12" i="5"/>
  <c r="D14" i="5"/>
  <c r="AA11" i="5"/>
  <c r="F13" i="5"/>
  <c r="D12" i="5"/>
  <c r="BC12" i="5"/>
  <c r="I10" i="5"/>
  <c r="AD12" i="5"/>
  <c r="BE10" i="5"/>
  <c r="J12" i="5"/>
  <c r="AC10" i="5"/>
  <c r="G11" i="5"/>
  <c r="O10" i="5"/>
  <c r="H10" i="5"/>
  <c r="AZ14" i="5"/>
  <c r="AV14" i="5"/>
  <c r="AU14" i="5" s="1"/>
  <c r="AD13" i="5"/>
  <c r="D13" i="5"/>
  <c r="BM10" i="5"/>
  <c r="BB10" i="5"/>
  <c r="G14" i="5"/>
  <c r="BC14" i="5"/>
  <c r="AD14" i="5"/>
  <c r="AZ13" i="5"/>
  <c r="AV13" i="5"/>
  <c r="BA10" i="5"/>
  <c r="BO10" i="5"/>
  <c r="J14" i="5"/>
  <c r="G12" i="5"/>
  <c r="C12" i="5"/>
  <c r="F11" i="5"/>
  <c r="BC13" i="5"/>
  <c r="BR10" i="5"/>
  <c r="AU12" i="5"/>
  <c r="AX12" i="5"/>
  <c r="AV11" i="5"/>
  <c r="AZ11" i="5"/>
  <c r="AF10" i="5"/>
  <c r="AB10" i="5"/>
  <c r="A41" i="3" l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CK9" i="5"/>
  <c r="DC5" i="5"/>
  <c r="CN13" i="5"/>
  <c r="CK14" i="5"/>
  <c r="DC10" i="5"/>
  <c r="G10" i="5"/>
  <c r="CN9" i="5"/>
  <c r="CK6" i="5"/>
  <c r="CZ5" i="5"/>
  <c r="CX5" i="5"/>
  <c r="CS5" i="5"/>
  <c r="F10" i="5"/>
  <c r="AA10" i="5"/>
  <c r="CK12" i="5"/>
  <c r="CN6" i="5"/>
  <c r="CO10" i="5"/>
  <c r="CN8" i="5"/>
  <c r="CK7" i="5"/>
  <c r="CK11" i="5"/>
  <c r="CN7" i="5"/>
  <c r="CZ10" i="5"/>
  <c r="CK8" i="5"/>
  <c r="CP5" i="5"/>
  <c r="CL5" i="5"/>
  <c r="CO5" i="5"/>
  <c r="CU5" i="5"/>
  <c r="CM5" i="5"/>
  <c r="CU10" i="5"/>
  <c r="CK13" i="5"/>
  <c r="CS10" i="5"/>
  <c r="CM10" i="5"/>
  <c r="CN14" i="5"/>
  <c r="CN12" i="5"/>
  <c r="CP10" i="5"/>
  <c r="CL10" i="5"/>
  <c r="CX10" i="5"/>
  <c r="CN11" i="5"/>
  <c r="B12" i="5"/>
  <c r="AD10" i="5"/>
  <c r="AX14" i="5"/>
  <c r="J10" i="5"/>
  <c r="AU11" i="5"/>
  <c r="AX11" i="5"/>
  <c r="C11" i="5"/>
  <c r="AZ10" i="5"/>
  <c r="AV10" i="5"/>
  <c r="AU13" i="5"/>
  <c r="C13" i="5"/>
  <c r="B13" i="5" s="1"/>
  <c r="BC10" i="5"/>
  <c r="AW10" i="5"/>
  <c r="E12" i="5"/>
  <c r="AX13" i="5"/>
  <c r="C14" i="5"/>
  <c r="BJ9" i="5"/>
  <c r="AP7" i="5"/>
  <c r="CC5" i="5"/>
  <c r="CA5" i="5"/>
  <c r="BX5" i="5"/>
  <c r="BV5" i="5"/>
  <c r="BU5" i="5"/>
  <c r="BQ5" i="5"/>
  <c r="BN5" i="5"/>
  <c r="BL5" i="5"/>
  <c r="BK5" i="5"/>
  <c r="BI5" i="5"/>
  <c r="BG5" i="5"/>
  <c r="AT5" i="5"/>
  <c r="AR5" i="5"/>
  <c r="AL5" i="5"/>
  <c r="AJ5" i="5"/>
  <c r="AH5" i="5"/>
  <c r="Z5" i="5"/>
  <c r="X5" i="5"/>
  <c r="P5" i="5"/>
  <c r="BT9" i="5"/>
  <c r="AP9" i="5"/>
  <c r="A58" i="3" l="1"/>
  <c r="A59" i="3" s="1"/>
  <c r="A60" i="3" s="1"/>
  <c r="A61" i="3" s="1"/>
  <c r="A62" i="3" s="1"/>
  <c r="A63" i="3" s="1"/>
  <c r="A64" i="3" s="1"/>
  <c r="A65" i="3" s="1"/>
  <c r="A66" i="3" s="1"/>
  <c r="CK10" i="5"/>
  <c r="CK5" i="5"/>
  <c r="CN5" i="5"/>
  <c r="CN10" i="5"/>
  <c r="BM5" i="5"/>
  <c r="BW5" i="5"/>
  <c r="E13" i="5"/>
  <c r="B11" i="5"/>
  <c r="E11" i="5"/>
  <c r="AX10" i="5"/>
  <c r="D10" i="5"/>
  <c r="B14" i="5"/>
  <c r="E14" i="5"/>
  <c r="AU10" i="5"/>
  <c r="C10" i="5"/>
  <c r="B10" i="5" s="1"/>
  <c r="BT8" i="5"/>
  <c r="BD9" i="5"/>
  <c r="AY9" i="5" s="1"/>
  <c r="AP8" i="5"/>
  <c r="BO6" i="5"/>
  <c r="L7" i="5"/>
  <c r="AK7" i="5"/>
  <c r="BO7" i="5"/>
  <c r="L8" i="5"/>
  <c r="BO8" i="5"/>
  <c r="AF7" i="5"/>
  <c r="BJ7" i="5"/>
  <c r="AF8" i="5"/>
  <c r="BJ8" i="5"/>
  <c r="AF9" i="5"/>
  <c r="V6" i="5"/>
  <c r="BY6" i="5"/>
  <c r="BE7" i="5"/>
  <c r="BY7" i="5"/>
  <c r="V8" i="5"/>
  <c r="BE8" i="5"/>
  <c r="BY8" i="5"/>
  <c r="V9" i="5"/>
  <c r="BE6" i="5"/>
  <c r="V7" i="5"/>
  <c r="AP6" i="5"/>
  <c r="Q7" i="5"/>
  <c r="BT7" i="5"/>
  <c r="Q8" i="5"/>
  <c r="Q9" i="5"/>
  <c r="L9" i="5"/>
  <c r="K9" i="5"/>
  <c r="AB9" i="5"/>
  <c r="BA8" i="5"/>
  <c r="AV8" i="5" s="1"/>
  <c r="H7" i="5"/>
  <c r="BB9" i="5"/>
  <c r="I8" i="5"/>
  <c r="AC8" i="5"/>
  <c r="BT6" i="5"/>
  <c r="BJ6" i="5"/>
  <c r="BD7" i="5"/>
  <c r="AY7" i="5" s="1"/>
  <c r="L6" i="5"/>
  <c r="BA6" i="5"/>
  <c r="Q6" i="5"/>
  <c r="BD6" i="5"/>
  <c r="AY6" i="5" s="1"/>
  <c r="AQ5" i="5"/>
  <c r="AS5" i="5" s="1"/>
  <c r="AF6" i="5"/>
  <c r="K7" i="5"/>
  <c r="K8" i="5"/>
  <c r="BD8" i="5"/>
  <c r="AY8" i="5" s="1"/>
  <c r="AE6" i="5"/>
  <c r="AB7" i="5"/>
  <c r="AE7" i="5"/>
  <c r="AE8" i="5"/>
  <c r="W5" i="5"/>
  <c r="Y5" i="5" s="1"/>
  <c r="BF5" i="5"/>
  <c r="BE5" i="5" s="1"/>
  <c r="BP5" i="5"/>
  <c r="BR5" i="5" s="1"/>
  <c r="BS5" i="5"/>
  <c r="BD5" i="5" s="1"/>
  <c r="AY5" i="5" s="1"/>
  <c r="BZ5" i="5"/>
  <c r="BY5" i="5" s="1"/>
  <c r="BB7" i="5"/>
  <c r="AK8" i="5"/>
  <c r="H9" i="5"/>
  <c r="M5" i="5"/>
  <c r="H6" i="5"/>
  <c r="AO5" i="5"/>
  <c r="AE5" i="5" s="1"/>
  <c r="AK6" i="5"/>
  <c r="AG5" i="5"/>
  <c r="AF5" i="5" s="1"/>
  <c r="K6" i="5"/>
  <c r="S5" i="5"/>
  <c r="AC6" i="5"/>
  <c r="R5" i="5"/>
  <c r="U5" i="5"/>
  <c r="K5" i="5" s="1"/>
  <c r="AM5" i="5"/>
  <c r="AN5" i="5" s="1"/>
  <c r="N5" i="5"/>
  <c r="BB5" i="5"/>
  <c r="BJ5" i="5"/>
  <c r="BT5" i="5"/>
  <c r="I6" i="5"/>
  <c r="AB6" i="5"/>
  <c r="BB6" i="5"/>
  <c r="I7" i="5"/>
  <c r="AC7" i="5"/>
  <c r="BA7" i="5"/>
  <c r="H8" i="5"/>
  <c r="AB8" i="5"/>
  <c r="BB8" i="5"/>
  <c r="I9" i="5"/>
  <c r="AC9" i="5"/>
  <c r="AE9" i="5"/>
  <c r="AK9" i="5"/>
  <c r="BA9" i="5"/>
  <c r="BE9" i="5"/>
  <c r="BO9" i="5"/>
  <c r="BY9" i="5"/>
  <c r="A67" i="3" l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6" i="3" s="1"/>
  <c r="A127" i="3" s="1"/>
  <c r="A128" i="3" s="1"/>
  <c r="A129" i="3" s="1"/>
  <c r="A130" i="3" s="1"/>
  <c r="A134" i="3" s="1"/>
  <c r="J9" i="5"/>
  <c r="BC8" i="5"/>
  <c r="AD7" i="5"/>
  <c r="O5" i="5"/>
  <c r="BC9" i="5"/>
  <c r="J7" i="5"/>
  <c r="BC7" i="5"/>
  <c r="AD9" i="5"/>
  <c r="BC6" i="5"/>
  <c r="AD6" i="5"/>
  <c r="E10" i="5"/>
  <c r="AD8" i="5"/>
  <c r="CB5" i="5"/>
  <c r="J6" i="5"/>
  <c r="BH5" i="5"/>
  <c r="AI5" i="5"/>
  <c r="T5" i="5"/>
  <c r="J8" i="5"/>
  <c r="L5" i="5"/>
  <c r="AW7" i="5"/>
  <c r="AW9" i="5"/>
  <c r="AA9" i="5"/>
  <c r="G9" i="5"/>
  <c r="G7" i="5"/>
  <c r="AA6" i="5"/>
  <c r="AZ6" i="5"/>
  <c r="F6" i="5"/>
  <c r="AV6" i="5"/>
  <c r="AU6" i="5" s="1"/>
  <c r="AP5" i="5"/>
  <c r="G6" i="5"/>
  <c r="AU8" i="5"/>
  <c r="AZ8" i="5"/>
  <c r="F8" i="5"/>
  <c r="F7" i="5"/>
  <c r="AA8" i="5"/>
  <c r="V5" i="5"/>
  <c r="AK5" i="5"/>
  <c r="BO5" i="5"/>
  <c r="AB5" i="5"/>
  <c r="AA5" i="5" s="1"/>
  <c r="H5" i="5"/>
  <c r="BA5" i="5"/>
  <c r="AV5" i="5" s="1"/>
  <c r="AU5" i="5" s="1"/>
  <c r="AA7" i="5"/>
  <c r="F5" i="5"/>
  <c r="I5" i="5"/>
  <c r="AC5" i="5"/>
  <c r="Q5" i="5"/>
  <c r="AW8" i="5"/>
  <c r="AX8" i="5" s="1"/>
  <c r="AW6" i="5"/>
  <c r="F9" i="5"/>
  <c r="AZ9" i="5"/>
  <c r="AV9" i="5"/>
  <c r="G8" i="5"/>
  <c r="C8" i="5"/>
  <c r="AZ7" i="5"/>
  <c r="AV7" i="5"/>
  <c r="AW5" i="5"/>
  <c r="A138" i="3" l="1"/>
  <c r="A139" i="3" s="1"/>
  <c r="A141" i="3" s="1"/>
  <c r="A142" i="3" s="1"/>
  <c r="A143" i="3" s="1"/>
  <c r="A144" i="3" s="1"/>
  <c r="J5" i="5"/>
  <c r="AX7" i="5"/>
  <c r="BC5" i="5"/>
  <c r="AD5" i="5"/>
  <c r="AX5" i="5"/>
  <c r="AX6" i="5"/>
  <c r="AX9" i="5"/>
  <c r="D7" i="5"/>
  <c r="G5" i="5"/>
  <c r="D6" i="5"/>
  <c r="D9" i="5"/>
  <c r="C6" i="5"/>
  <c r="B8" i="5"/>
  <c r="C5" i="5"/>
  <c r="AZ5" i="5"/>
  <c r="D8" i="5"/>
  <c r="E8" i="5" s="1"/>
  <c r="D5" i="5"/>
  <c r="AU7" i="5"/>
  <c r="C7" i="5"/>
  <c r="B7" i="5" s="1"/>
  <c r="AU9" i="5"/>
  <c r="C9" i="5"/>
  <c r="B9" i="5" s="1"/>
  <c r="A145" i="3" l="1"/>
  <c r="A146" i="3" s="1"/>
  <c r="A147" i="3" s="1"/>
  <c r="A148" i="3" s="1"/>
  <c r="A149" i="3" s="1"/>
  <c r="A150" i="3" s="1"/>
  <c r="A151" i="3" s="1"/>
  <c r="E5" i="5"/>
  <c r="E7" i="5"/>
  <c r="E9" i="5"/>
  <c r="E6" i="5"/>
  <c r="B5" i="5"/>
  <c r="B6" i="5"/>
  <c r="A156" i="3" l="1"/>
  <c r="A158" i="3" s="1"/>
  <c r="A159" i="3" s="1"/>
  <c r="A160" i="3" s="1"/>
  <c r="A161" i="3" s="1"/>
  <c r="A162" i="3" s="1"/>
  <c r="A163" i="3" s="1"/>
  <c r="A170" i="3" s="1"/>
  <c r="A171" i="3" s="1"/>
  <c r="A172" i="3" s="1"/>
  <c r="A173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7" i="3" s="1"/>
  <c r="A238" i="3" s="1"/>
  <c r="A239" i="3" s="1"/>
  <c r="A240" i="3" s="1"/>
  <c r="A241" i="3" s="1"/>
</calcChain>
</file>

<file path=xl/sharedStrings.xml><?xml version="1.0" encoding="utf-8"?>
<sst xmlns="http://schemas.openxmlformats.org/spreadsheetml/2006/main" count="1611" uniqueCount="537">
  <si>
    <t>Фотография объекта</t>
  </si>
  <si>
    <t>Коровник</t>
  </si>
  <si>
    <t>Здание бани</t>
  </si>
  <si>
    <t>Здание мастерской</t>
  </si>
  <si>
    <t>Здание магазина</t>
  </si>
  <si>
    <t xml:space="preserve">Старое здание
правления
</t>
  </si>
  <si>
    <t>Новое здание правления</t>
  </si>
  <si>
    <t>Здание столовой</t>
  </si>
  <si>
    <t xml:space="preserve">Бывший дом
культуры
</t>
  </si>
  <si>
    <t>продажа</t>
  </si>
  <si>
    <t>наложен арест</t>
  </si>
  <si>
    <t>использование в собственных целях</t>
  </si>
  <si>
    <t>База отдыха</t>
  </si>
  <si>
    <t>Мядельский район, 
аг. Лукьяновичи</t>
  </si>
  <si>
    <t>Одноэтажное каркасно-засыпное здание клуба</t>
  </si>
  <si>
    <t>Одноэтажное бревенчатое здание для отдыха</t>
  </si>
  <si>
    <t>Одноэтажное бревенчатое здание домика для отдыха</t>
  </si>
  <si>
    <t>г. Мядель, 
ул. Интернациональная, 21</t>
  </si>
  <si>
    <t>Здание откорма КРС (Инв. № 1-062)</t>
  </si>
  <si>
    <t xml:space="preserve"> Мядельский район, 
аг. Нарочь</t>
  </si>
  <si>
    <t>Здание ветсанпропуск-ника</t>
  </si>
  <si>
    <t>Здание кормоцеха</t>
  </si>
  <si>
    <t>Здание пилорамы</t>
  </si>
  <si>
    <t>Здание теплицы</t>
  </si>
  <si>
    <t>Здание комбикормо-вого цеха</t>
  </si>
  <si>
    <t>Зерночистящий цех</t>
  </si>
  <si>
    <t>Здание котельной</t>
  </si>
  <si>
    <t>Школа</t>
  </si>
  <si>
    <t xml:space="preserve">Коровник  </t>
  </si>
  <si>
    <t>социальное</t>
  </si>
  <si>
    <t>культурное</t>
  </si>
  <si>
    <t>производственное</t>
  </si>
  <si>
    <t>административное</t>
  </si>
  <si>
    <t xml:space="preserve">    </t>
  </si>
  <si>
    <t>бытовое</t>
  </si>
  <si>
    <t>специализиров для розничной торговли</t>
  </si>
  <si>
    <t>Здание склада</t>
  </si>
  <si>
    <t>Здание неустановленного назначения</t>
  </si>
  <si>
    <t>Весовая</t>
  </si>
  <si>
    <t>Бывшее здание общежития</t>
  </si>
  <si>
    <t>Здание фермы</t>
  </si>
  <si>
    <t>Здание животноводческой фермы</t>
  </si>
  <si>
    <t>Артскважина</t>
  </si>
  <si>
    <t>Здание телятника</t>
  </si>
  <si>
    <t>Здание сарая</t>
  </si>
  <si>
    <t>Здание тира</t>
  </si>
  <si>
    <t>Склад-ангар</t>
  </si>
  <si>
    <t xml:space="preserve">реконструкция </t>
  </si>
  <si>
    <t>Здание неустановленного назначения (ирпичное здание)</t>
  </si>
  <si>
    <t xml:space="preserve">Сарай </t>
  </si>
  <si>
    <t>Навес для хранения сена</t>
  </si>
  <si>
    <t>Мехмастерская</t>
  </si>
  <si>
    <t>Коровник СТФ</t>
  </si>
  <si>
    <t>Здание диспетчерской на территории СТФ</t>
  </si>
  <si>
    <t>Здание дома быта</t>
  </si>
  <si>
    <t>Навес для сена</t>
  </si>
  <si>
    <t>Общество с ограниченной ответственностью "Новый оазис"</t>
  </si>
  <si>
    <t>Здание водонапорной башни и остатки железобетонных столбов</t>
  </si>
  <si>
    <t>СК "Брусы"</t>
  </si>
  <si>
    <t>Сенажная траншея</t>
  </si>
  <si>
    <t>здание специализированнное складов, торговых баз, материально-технического снабжения</t>
  </si>
  <si>
    <t>аренда</t>
  </si>
  <si>
    <t>фруктохранилище</t>
  </si>
  <si>
    <t>засолочный пункт</t>
  </si>
  <si>
    <t>1973 </t>
  </si>
  <si>
    <t>склад-холодильник</t>
  </si>
  <si>
    <t>специализированое для образования и воспитания</t>
  </si>
  <si>
    <t>Склад гараж</t>
  </si>
  <si>
    <t xml:space="preserve">Коровник </t>
  </si>
  <si>
    <t>Мядельский район, 
дер. Задубенье</t>
  </si>
  <si>
    <t>Склад</t>
  </si>
  <si>
    <t>Телятник 02141</t>
  </si>
  <si>
    <t>1.2. объекты, находящиеся в собственности  Минской области</t>
  </si>
  <si>
    <t>1.3. объекты, находящиеся в собственности Мядельского района</t>
  </si>
  <si>
    <t>2. Объекты, находящиеся в собственности хозяйственных обществ с долей государства более 50 процентов</t>
  </si>
  <si>
    <t>складское</t>
  </si>
  <si>
    <t>3.3. иные объекты (собственность физических лиц, ЗАО, КХП, СПК и другие)</t>
  </si>
  <si>
    <t>1.4. Объекты, находящиеся в собственности г.Минска</t>
  </si>
  <si>
    <t>3.2. Объекты потребительской кооперации</t>
  </si>
  <si>
    <t>Картофеле-хранилище</t>
  </si>
  <si>
    <t>здание специализи-рованное розничной торговли</t>
  </si>
  <si>
    <t>Индивидуальный предприниматель Булай А.Л.</t>
  </si>
  <si>
    <t xml:space="preserve">наложен арест </t>
  </si>
  <si>
    <t>Общество  с ограниченной ответственностью «Пилвудстрой»</t>
  </si>
  <si>
    <t>Собственник не установлен</t>
  </si>
  <si>
    <t>Здание бывшего инкубатора</t>
  </si>
  <si>
    <t>Здание бывшей мельницы (остатки)</t>
  </si>
  <si>
    <t>Адрес объекта</t>
  </si>
  <si>
    <t>Назначение объекта (производственное, социально-культурное, складское и т.д.)</t>
  </si>
  <si>
    <t>Год ввода объекта в эксплуатацию (приобретения)</t>
  </si>
  <si>
    <t>административное помещение</t>
  </si>
  <si>
    <t xml:space="preserve">Общественно-бытовой корпус,
 инв. № 633/С-9887
</t>
  </si>
  <si>
    <t>Мядельский район, г.п.Свирь,                    ул.Советская, 14-4</t>
  </si>
  <si>
    <t>Мядельский район,                   д. Комарово,                            ул. Парковая, 9</t>
  </si>
  <si>
    <t xml:space="preserve"> Учреждение образования "Вилейский государственный колледж",         Вилейский район, г. Вилейка,                      ул. Гагарина, 4</t>
  </si>
  <si>
    <t>Управление по образованию, спорту и туризму Мядельского райисполкома, г. Мядель, пл. Шаранговича, 2</t>
  </si>
  <si>
    <t>Детский сад,              инв. № 107</t>
  </si>
  <si>
    <t xml:space="preserve">Магазин № 50,                           инв. № 633/С-10565          </t>
  </si>
  <si>
    <t xml:space="preserve">специализи-рованное розничной торговли </t>
  </si>
  <si>
    <t xml:space="preserve">Магазин № 42,                     инв. № 633/С-10564                     </t>
  </si>
  <si>
    <t>г. Мядель,                               ул. Ленинская, 62</t>
  </si>
  <si>
    <t>Мядельский район,                 д. Дягили</t>
  </si>
  <si>
    <t>Мядельский район,            д. Парубки</t>
  </si>
  <si>
    <t>Механизированная мойка,                         инв. № 33</t>
  </si>
  <si>
    <t>г. Мядель,                              ул. Промышленная, 1</t>
  </si>
  <si>
    <t>г. Мядель,                             ул. Промышленная, 1</t>
  </si>
  <si>
    <t>2 эт. здание администрации,        инв. № 9</t>
  </si>
  <si>
    <t>Здание телятника,      инв. № 3024</t>
  </si>
  <si>
    <t>Здание коровника,            инв. № 637</t>
  </si>
  <si>
    <t>Мядельский район,               д. Кулики</t>
  </si>
  <si>
    <t>Здание коровника,           инв. № 422</t>
  </si>
  <si>
    <t>Здание для кислородной  установки,                        инв. № 34</t>
  </si>
  <si>
    <t>Мядельский район,          д. Кулики</t>
  </si>
  <si>
    <t>Мядельский район,       аг. Старлыги</t>
  </si>
  <si>
    <t>Мядельский район,               д. Помошье</t>
  </si>
  <si>
    <t>Мядельский район,              аг. Старлыги</t>
  </si>
  <si>
    <t>Мядельский район,     аг.Старлыги</t>
  </si>
  <si>
    <t>Мядельский район,            аг. Сватки</t>
  </si>
  <si>
    <t>Мядельский район,          аг. Сватки</t>
  </si>
  <si>
    <t>Здание спиртзавода</t>
  </si>
  <si>
    <t>Мядельский район, 
д. Больково</t>
  </si>
  <si>
    <t>Проходная,                        инв. № 03</t>
  </si>
  <si>
    <t>Котельная,              инв. № 01</t>
  </si>
  <si>
    <t>Спиртохранилище,      инв 201</t>
  </si>
  <si>
    <t xml:space="preserve"> Мядельский район, 
д. Больково</t>
  </si>
  <si>
    <t>Мядельский район,                 д. Больково</t>
  </si>
  <si>
    <t>Мядельский район,                   д. Больково</t>
  </si>
  <si>
    <t>Насосная</t>
  </si>
  <si>
    <t>Водонапорная башня</t>
  </si>
  <si>
    <t>Мядельский район,                  д. Больково</t>
  </si>
  <si>
    <t>Свинарник маточник,  инв. № 70/019</t>
  </si>
  <si>
    <t>Мядельский район, 
д. Нарейши</t>
  </si>
  <si>
    <t>Свинарник,                      инв. № 47/018</t>
  </si>
  <si>
    <t>Свинарник маточник, инв. № 51/021</t>
  </si>
  <si>
    <t>Свинарник откорм.,               инв. № 015</t>
  </si>
  <si>
    <t>Бригадный дом,      инв. № 54/016</t>
  </si>
  <si>
    <t>Здание бывшей МТФ (телятник),                   инв. № 040</t>
  </si>
  <si>
    <t>Мядельский район,                     д. Бакшты</t>
  </si>
  <si>
    <t>Коровник,                          инв. № 49</t>
  </si>
  <si>
    <t>Телятник</t>
  </si>
  <si>
    <t>Мядельский район, 
д. Ольшево, 35Б</t>
  </si>
  <si>
    <t>Мядельский район,                   д. Ольшево, 35А</t>
  </si>
  <si>
    <t>Конюшня</t>
  </si>
  <si>
    <t>Мядельский район,                    д. Ольшево</t>
  </si>
  <si>
    <t>Мядельский район,                   д. Ольшево, 35Г</t>
  </si>
  <si>
    <t>Мядельский район,                     д. Комарово</t>
  </si>
  <si>
    <t>Клуб,                         инв. № 011</t>
  </si>
  <si>
    <t>Мядельский район, 
д. Засвирь</t>
  </si>
  <si>
    <t xml:space="preserve">Детский сад </t>
  </si>
  <si>
    <t>Комбикормовый завод</t>
  </si>
  <si>
    <t>Мядельский район,                   д. Константиново</t>
  </si>
  <si>
    <t>Мядельский район,              д. Константиново</t>
  </si>
  <si>
    <t>Здание мастерских</t>
  </si>
  <si>
    <t>Мядельский район,                        г.п. Свирь</t>
  </si>
  <si>
    <t>Склад зерновой</t>
  </si>
  <si>
    <t>Мядельский район,                д. Константиново</t>
  </si>
  <si>
    <t>Банно-прачечный комплекс,                             инв. № 102</t>
  </si>
  <si>
    <t>Мядельский район, 
аг. Слобода</t>
  </si>
  <si>
    <t>Мядельский район, 
д. Константиново</t>
  </si>
  <si>
    <t>Здание правления,              инв. № 94</t>
  </si>
  <si>
    <t>Банно-прачечный комплекс,                             инв. № 103</t>
  </si>
  <si>
    <t>Банно-прачечный комплекс,                           инв. № 101</t>
  </si>
  <si>
    <t>Мядельский район, 
аг. Старые Габы</t>
  </si>
  <si>
    <t>Столовая,                       инв. № 91</t>
  </si>
  <si>
    <t>Пилорама старая</t>
  </si>
  <si>
    <t>Мядельский район,              д. Новые Габы</t>
  </si>
  <si>
    <t>Здание правления,   инв. № 129</t>
  </si>
  <si>
    <t>Коровник,                    инв № 9</t>
  </si>
  <si>
    <t>Мядельский район, 
д. Лейцы</t>
  </si>
  <si>
    <t>Мядельский район,              д. Красняны</t>
  </si>
  <si>
    <t>Мядельский район,              д. Гули</t>
  </si>
  <si>
    <t>Мядельский район,                    д. Слободка</t>
  </si>
  <si>
    <t>Мядельский район, 
д. Осово</t>
  </si>
  <si>
    <t>Телятник,                    инв. № 52</t>
  </si>
  <si>
    <t>Клуб,                           инв. № 76</t>
  </si>
  <si>
    <t>Мядельский район, 
д. Задубенье</t>
  </si>
  <si>
    <t>Клуб,                                инв. № 46</t>
  </si>
  <si>
    <t>Мядельский район, 
д. Плашино</t>
  </si>
  <si>
    <t>Детский сад,                 инв. № 02092</t>
  </si>
  <si>
    <t>Мядельский район, 
д. Парубки</t>
  </si>
  <si>
    <t>Мядельский район                     д. Задубенье</t>
  </si>
  <si>
    <t>Контора (адм здание)</t>
  </si>
  <si>
    <t>Мядельский район,                  аг. Княгинин</t>
  </si>
  <si>
    <t>Баня,                               инв. № 02073</t>
  </si>
  <si>
    <t>Мядельский район,
д. Осово</t>
  </si>
  <si>
    <t>Дом животновода,         инв. № 74</t>
  </si>
  <si>
    <t>Мядельский район,                       аг. Лотва</t>
  </si>
  <si>
    <t>Административное здание,                    инв. № 277</t>
  </si>
  <si>
    <t>Открытое акционерное общество "Научно-исследовательский институт электронных вычислительных машин", г. Минск, ул. М. Богдановича, 155</t>
  </si>
  <si>
    <t>Мядельский район,                       д. Иванки</t>
  </si>
  <si>
    <t xml:space="preserve">Мядельское районное потребительское общество, Мядельский район,                                      г. Мядель, ул. 1 Мая,  2 
</t>
  </si>
  <si>
    <t>Мядельский район,                  д. Полесье</t>
  </si>
  <si>
    <t>Мядельский район,       д. Воробьи</t>
  </si>
  <si>
    <t>Здание магазина,    инв. № 1265</t>
  </si>
  <si>
    <t>Мядельский район,       д. Помошье</t>
  </si>
  <si>
    <t>Мядельский район,       д. Нарейши</t>
  </si>
  <si>
    <t>Мядельский район,                 аг. Бояры</t>
  </si>
  <si>
    <t>Мядельский район,            аг. Княгинин</t>
  </si>
  <si>
    <t>Контора,                        инв. № 490</t>
  </si>
  <si>
    <t>Мядельский район,                 аг. Княгинин</t>
  </si>
  <si>
    <t>г. Мядель,                             ул. Интернациональная, 16</t>
  </si>
  <si>
    <t>Мядельский район,                  г.п. Свирь,                                      ул. Советская, 35</t>
  </si>
  <si>
    <t xml:space="preserve">Мядельский район,                 г.п. Свирь,                          ул. Советская </t>
  </si>
  <si>
    <t>Ангар,                                    инв. № 646</t>
  </si>
  <si>
    <t>Мядельский район,              г.п. Кривичи,                          ул. 17 Сентября</t>
  </si>
  <si>
    <t>Мядельский район,              г.п. Кривичи,                          ул. 17 Сентября, 104</t>
  </si>
  <si>
    <t>Магазин,                                 инв. № 300088</t>
  </si>
  <si>
    <t>Мядельский район,            д. Лукашевичи</t>
  </si>
  <si>
    <t>Магазин,                            инв. № 300080</t>
  </si>
  <si>
    <t>Мядельский район,            д. Засвирь</t>
  </si>
  <si>
    <t>Магазин,                      инв. № 300464</t>
  </si>
  <si>
    <t>Мядельский район,            д. Лещинск</t>
  </si>
  <si>
    <t>Магазин,                      инв. № 300067</t>
  </si>
  <si>
    <t>г. Мядель,                                 ул. Интернациональная, 16</t>
  </si>
  <si>
    <t>г. Мядель,                                           ул. Интернациональная, 9</t>
  </si>
  <si>
    <t>Мядельский район,                  д. Сватки</t>
  </si>
  <si>
    <t>Общество с ограниченной ответственностью "ЗД инвест", Минская область,   г.  Минск,                       ул. Я.Колоса, 39 а</t>
  </si>
  <si>
    <t>СТО (бывшая станция технического обслуживания),              инв. № 633/С-8185</t>
  </si>
  <si>
    <t>Мядельский район, 
г. Мядель,                       ул. Интернациональная, 6</t>
  </si>
  <si>
    <t>Индивидуальный предприниматель Фенько С.В., Минский район, г.Минск,ул., Брилевская,17, кв. 2</t>
  </si>
  <si>
    <t xml:space="preserve">Здание школы,                   инв. № 633/С-8574
</t>
  </si>
  <si>
    <t xml:space="preserve">Здание мастерской-столовой,                 инв. № 633/С-8575
</t>
  </si>
  <si>
    <t>Частное транспортное унитарное предприятие "Каргодос", 
Минский район, пос. Опытный, 
ул. Строителей, 1,пом. 1</t>
  </si>
  <si>
    <t>Мядельский район,                      д. Парубки
пер. Первомайский, 10</t>
  </si>
  <si>
    <t>Здание детского сада, инв. №  633/С-11419</t>
  </si>
  <si>
    <t xml:space="preserve">Мядельский район,                   д. Выголовичи
ул. Парковая, 10 </t>
  </si>
  <si>
    <t>Общество с ограниченной отвественностью «Номос плюс», Молодечненский район, г. Молодечно, ул. Рабочая, 5, комната 18</t>
  </si>
  <si>
    <t xml:space="preserve">Здание общежития,   инв. № 633/С-11010
</t>
  </si>
  <si>
    <t>Мядельский район,               д. Черевки, 
пер. Садовый, 1А</t>
  </si>
  <si>
    <t>Мядельский район, 
г. Мядель, 
ул. 17 Сентября</t>
  </si>
  <si>
    <t>Частное производственное унитарное предприятие «СВИНОКОМПЛЕКС БУЙКИ», Мядельский район</t>
  </si>
  <si>
    <t>Мядельский район,           д. Лещинск</t>
  </si>
  <si>
    <t>Мядельский район                        д. Лещинск</t>
  </si>
  <si>
    <t>Частное унитарное предприятие по оказанию услуг "М-АРТ-М", Мядельский район, аг. Старлыги,               ул. Солнечная, 2</t>
  </si>
  <si>
    <t>Общество с ограниченной отвественностью «Торговый дом «Мястро», 
Мядельский район,  г. Мядель,                      ул. 17 Сентября, 1</t>
  </si>
  <si>
    <t>Мядельский район,         д. Буйки</t>
  </si>
  <si>
    <t>Мядельский район,                   д. Буйки</t>
  </si>
  <si>
    <t>Мядельский район,                д. Болтогузы</t>
  </si>
  <si>
    <t>Мядельский район,             д. Островляны</t>
  </si>
  <si>
    <t>Здание коровника</t>
  </si>
  <si>
    <t>Общество с ограниченной ответственностью  «КантриФуд», 
г. Минск,
ул. Сурганова, 57Б, комн. 1131</t>
  </si>
  <si>
    <t xml:space="preserve">Здание специализирован-
ное для производства продуктов
питания,                   инв.№ 633/С-10212
</t>
  </si>
  <si>
    <t>г. Мядель, 
ул. Интернациональная, 7</t>
  </si>
  <si>
    <t>Здание мастерской, инв. № 633/С-10213</t>
  </si>
  <si>
    <t xml:space="preserve">г. Мядель, 
ул. Интернациональная, 7Б
</t>
  </si>
  <si>
    <t>Административное
помещение,                     инв.№ 633/D-3519</t>
  </si>
  <si>
    <t>г. Мядель,
 ул. Интернациональная, 7</t>
  </si>
  <si>
    <t>Общество с ограниченной отвественностью «Нарочанская Нива 2004» Мядельский район, аг. Нарочь, ул. Первомайская, д. 61, комната 1</t>
  </si>
  <si>
    <t>Здание откорма,     инв. № 1-101</t>
  </si>
  <si>
    <t>Мядельский район, 
аг. Нарочь</t>
  </si>
  <si>
    <t>Телятник,                        инв. № 1-076</t>
  </si>
  <si>
    <t>Здание откорма,             инв. № 1-102</t>
  </si>
  <si>
    <t xml:space="preserve">Мядельский район, 
аг. Нарочь
</t>
  </si>
  <si>
    <t>Совместное общество с ограниченной отвественностью «Лига удачи», Минская область, г. Минск,                           ул. Революционная, д. 9А, пом. 3</t>
  </si>
  <si>
    <t>Здание бывшего кинотеатра "Чайка",   инв. № 633/С-2231</t>
  </si>
  <si>
    <t>Мядельский район, 
к.п. Нарочь,                             ул. Зеленая, 14</t>
  </si>
  <si>
    <t>Двухэтажное кирпичное административное здание,                    инв. № 633/С-7654</t>
  </si>
  <si>
    <t>Административное здание</t>
  </si>
  <si>
    <t xml:space="preserve">Мядельский район,                  д. Дягили,                         ул. Центральная, 34-1
</t>
  </si>
  <si>
    <t>Общество с ограниченной ответственностью «Сельскохозяйственная производственная строительная региональная корпорация «Голден Флис», 223053, Минский район,                        д. Боровая, д.1, комната 338</t>
  </si>
  <si>
    <t>Здание сельисполкома</t>
  </si>
  <si>
    <t>Мядельский район</t>
  </si>
  <si>
    <t>Общество с ограниченной ответственностью «ШАНТЭР»
г. Минск, ул. Пономаренко, д.7, помещение 46</t>
  </si>
  <si>
    <t>Мядельский район,                   в районе аг.Бояры</t>
  </si>
  <si>
    <t xml:space="preserve"> Мядельский район,                     в районе д.Симоны</t>
  </si>
  <si>
    <t>Здание КПП,               инв. № 95001</t>
  </si>
  <si>
    <t>Мядельский район,                д. Бояры</t>
  </si>
  <si>
    <t>Караульный пост,           инв. № 95008</t>
  </si>
  <si>
    <t xml:space="preserve">Здание </t>
  </si>
  <si>
    <t xml:space="preserve">Физическое лицо Попченко Светлана Аркадьевна, 
</t>
  </si>
  <si>
    <t>Здание магазина,                 инв. № 633/С-7971</t>
  </si>
  <si>
    <t>г. Мядель,                               ул. Юбилейная, 85</t>
  </si>
  <si>
    <t>Общество с ограниченной ответственностью "Куласта", Мядельский район, д. Яцковичи, 80</t>
  </si>
  <si>
    <t>Здание бывшей Яцковичской базовой школы</t>
  </si>
  <si>
    <t>Мядельский район, 
д. Яцковичи, 80</t>
  </si>
  <si>
    <t>Мядельский район,                 д. Узла</t>
  </si>
  <si>
    <t>Мядельский район,                гп. Кривичи</t>
  </si>
  <si>
    <t>Здание бывшей винокурни</t>
  </si>
  <si>
    <t>Мядельский район, 
д. Мокрица</t>
  </si>
  <si>
    <t>Мядельский район,                  д. Юшковичи</t>
  </si>
  <si>
    <t>Мядельский район,                 д. Лещинск</t>
  </si>
  <si>
    <t>специализированное</t>
  </si>
  <si>
    <t>сельскохозяйственного назначения</t>
  </si>
  <si>
    <t>неустановленное</t>
  </si>
  <si>
    <t>общественного питания</t>
  </si>
  <si>
    <t>специализированное образования и воспитания</t>
  </si>
  <si>
    <t>неустановленного</t>
  </si>
  <si>
    <t>розничной торговли</t>
  </si>
  <si>
    <t>неустановлееное</t>
  </si>
  <si>
    <t>воспитания и образования</t>
  </si>
  <si>
    <t xml:space="preserve">неустановленное </t>
  </si>
  <si>
    <t xml:space="preserve">Сторожевой пост,                    инв. № 633/С-10276
</t>
  </si>
  <si>
    <t>неустановленного назначения</t>
  </si>
  <si>
    <t>Здание каплицы</t>
  </si>
  <si>
    <t>Башня</t>
  </si>
  <si>
    <t>Мядельский район, 
д. Олешки</t>
  </si>
  <si>
    <t>Здание диспетчерской 
(2-этаж)</t>
  </si>
  <si>
    <t>Республиканское унитарное предприятие автомобильных дорог "Минскавтодор-Центр",                                     г. Минск, ул. Кальварийская, 37</t>
  </si>
  <si>
    <t>Изолированное помещение конторы,  инв. № 633/D -5080</t>
  </si>
  <si>
    <t>Обособленное структурное подразделение в виде филиала "Узлянка" Коммунального торгового унитарного предприятия "Минский Комаровский рынок",                 Мядельский район, аг. Пузыри,                     ул. Я.Коласа, 9</t>
  </si>
  <si>
    <t>Мядельский район,                  д. Воробьи</t>
  </si>
  <si>
    <t>Мядельский район,                             аг. Будслав</t>
  </si>
  <si>
    <t>Мядельский район                аг. Княгинин,                       ул. Привокзальная, 81</t>
  </si>
  <si>
    <r>
      <t xml:space="preserve">Открытое акционерное общество "Мядельагросервис", 
Мядельский район, г. Мядель,                          ул. Промышленная, 1
</t>
    </r>
    <r>
      <rPr>
        <b/>
        <sz val="10"/>
        <color indexed="8"/>
        <rFont val="Times New Roman"/>
        <family val="1"/>
        <charset val="204"/>
      </rPr>
      <t>Доля Мядельского района  - 97,08%</t>
    </r>
  </si>
  <si>
    <r>
      <t xml:space="preserve">Открытое акционерное общество "Занарочанский" аг. Занарочь      </t>
    </r>
    <r>
      <rPr>
        <b/>
        <sz val="10"/>
        <color indexed="8"/>
        <rFont val="Times New Roman"/>
        <family val="1"/>
        <charset val="204"/>
      </rPr>
      <t xml:space="preserve"> Доля Мядельского района  - 88,35%     </t>
    </r>
    <r>
      <rPr>
        <sz val="10"/>
        <color indexed="8"/>
        <rFont val="Times New Roman"/>
        <family val="1"/>
        <charset val="204"/>
      </rPr>
      <t xml:space="preserve">             </t>
    </r>
  </si>
  <si>
    <r>
      <t xml:space="preserve">Открытое акционерное общество "Сватки",                            Мядельский район, аг. Сватки           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 - 89,645%  </t>
    </r>
    <r>
      <rPr>
        <sz val="10"/>
        <color indexed="8"/>
        <rFont val="Times New Roman"/>
        <family val="1"/>
        <charset val="204"/>
      </rPr>
      <t xml:space="preserve">                
</t>
    </r>
  </si>
  <si>
    <r>
      <t xml:space="preserve">Открытое акционерное общество "Свирь-агро",                         Мядельский район, г.п. Свирь           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 - 83,17% </t>
    </r>
    <r>
      <rPr>
        <sz val="10"/>
        <color indexed="8"/>
        <rFont val="Times New Roman"/>
        <family val="1"/>
        <charset val="204"/>
      </rPr>
      <t xml:space="preserve">                 
 </t>
    </r>
  </si>
  <si>
    <t>Мядельский район,              г.п. Свирь,                                ул.  Гуриновича</t>
  </si>
  <si>
    <r>
      <t xml:space="preserve">Открытое акционерное общество "Мядельское агропромэнерго",                       г. Мядель, ул. Интернациональная, 26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- 93,31%  </t>
    </r>
    <r>
      <rPr>
        <sz val="10"/>
        <color indexed="8"/>
        <rFont val="Times New Roman"/>
        <family val="1"/>
        <charset val="204"/>
      </rPr>
      <t xml:space="preserve">                        
</t>
    </r>
  </si>
  <si>
    <r>
      <t xml:space="preserve">Открытое акционерное общество "ДОРОРС" Министерства транспорта и коммуникаций Республики Беларусь,   г. Минск ул. Бресткая, 77/1-2          </t>
    </r>
    <r>
      <rPr>
        <b/>
        <sz val="10"/>
        <color indexed="8"/>
        <rFont val="Times New Roman"/>
        <family val="1"/>
        <charset val="204"/>
      </rPr>
      <t>Доля РБ - 99,1679%</t>
    </r>
  </si>
  <si>
    <r>
      <t xml:space="preserve">Открытое акционерное общество "БЕЛЗООВЕТСНАБПРОМ" Унитарное предприятие "База Белзооветснаб" г.Молодечно                      Министерство сельского хозяйства       </t>
    </r>
    <r>
      <rPr>
        <b/>
        <sz val="10"/>
        <color indexed="8"/>
        <rFont val="Times New Roman"/>
        <family val="1"/>
        <charset val="204"/>
      </rPr>
      <t>Доля РБ - 62,2917%</t>
    </r>
  </si>
  <si>
    <t>САЙТ</t>
  </si>
  <si>
    <t xml:space="preserve">Индивидуальный предприниматель </t>
  </si>
  <si>
    <t>Индивидуальный предприниматель</t>
  </si>
  <si>
    <t>Физическое лицо</t>
  </si>
  <si>
    <t>д.Пузыри</t>
  </si>
  <si>
    <t>Здание многофункциональное    совместное домовладение 633/С-8663</t>
  </si>
  <si>
    <t>Мядельский район,             д. Селятки</t>
  </si>
  <si>
    <t>Капитальное строение</t>
  </si>
  <si>
    <t>Навес</t>
  </si>
  <si>
    <t>Мядельский район,             д. Буйки</t>
  </si>
  <si>
    <r>
      <rPr>
        <b/>
        <sz val="12"/>
        <color indexed="8"/>
        <rFont val="Times New Roman"/>
        <family val="1"/>
        <charset val="204"/>
      </rPr>
      <t>Частное производственное унитарное предприятие</t>
    </r>
    <r>
      <rPr>
        <sz val="10"/>
        <color indexed="8"/>
        <rFont val="Times New Roman"/>
        <family val="1"/>
        <charset val="204"/>
      </rPr>
      <t xml:space="preserve"> «Вишневское агро», Мядельский район, </t>
    </r>
  </si>
  <si>
    <t>розничная торговля</t>
  </si>
  <si>
    <t>склад</t>
  </si>
  <si>
    <t>Зерносушилка</t>
  </si>
  <si>
    <t>Мядельский район,                д. Комарово</t>
  </si>
  <si>
    <t>Склад,    фруктохранилище                            инв. №  244</t>
  </si>
  <si>
    <t>Склад,              засолочный пункт                        инв. № 248</t>
  </si>
  <si>
    <t>Магазин,         Универмаг                            инв. № 644</t>
  </si>
  <si>
    <t>Контора,     адм здание                        инв. № 300062</t>
  </si>
  <si>
    <t>Магазин,          Продукты Свирь                 инв. № 300064</t>
  </si>
  <si>
    <t>Здание,            заготмагазин            инв. № 257</t>
  </si>
  <si>
    <r>
      <t>Мядельский район,            д. Комарово</t>
    </r>
    <r>
      <rPr>
        <sz val="10"/>
        <color rgb="FF0070C0"/>
        <rFont val="Times New Roman"/>
        <family val="1"/>
        <charset val="204"/>
      </rPr>
      <t xml:space="preserve">  Кутьки</t>
    </r>
  </si>
  <si>
    <t>Здание,                Столярный цех                             инв. № 496</t>
  </si>
  <si>
    <t>Здание,                        склад холодильник                      инв. №  500105</t>
  </si>
  <si>
    <t>Здание административное</t>
  </si>
  <si>
    <t xml:space="preserve">склад </t>
  </si>
  <si>
    <t>здание фермы</t>
  </si>
  <si>
    <t>здание сушилки</t>
  </si>
  <si>
    <t>Капитальное строение  (усадьба Скирмунтов)</t>
  </si>
  <si>
    <t>д.Шеметово</t>
  </si>
  <si>
    <t xml:space="preserve">Здание бывшей мельницы </t>
  </si>
  <si>
    <t>навес</t>
  </si>
  <si>
    <t>сушилка</t>
  </si>
  <si>
    <t>неавес</t>
  </si>
  <si>
    <t>гараж</t>
  </si>
  <si>
    <t xml:space="preserve">Здание для кислородной  установки,                       </t>
  </si>
  <si>
    <t>Здание конторы</t>
  </si>
  <si>
    <t>здание гаража</t>
  </si>
  <si>
    <t>Склад,       овощехранилище                         инв. №  247</t>
  </si>
  <si>
    <t>Админист зд, контора,                                         инв. №  512</t>
  </si>
  <si>
    <t>Магазин,                      инв. № 300078</t>
  </si>
  <si>
    <t>Здание,     заготовки                инв. № 633</t>
  </si>
  <si>
    <t>магазин хозтовары  №25636</t>
  </si>
  <si>
    <t>Магазин,                        инв. № 300060</t>
  </si>
  <si>
    <t>Магазин,                           инв. № 33</t>
  </si>
  <si>
    <t>Мядельский район,                  д. Сырмеж</t>
  </si>
  <si>
    <t>Мядельский район,                  д. Брусы</t>
  </si>
  <si>
    <t>Здание магазина №110034</t>
  </si>
  <si>
    <t>Здание магазина №25641</t>
  </si>
  <si>
    <t>Здание магазина  №300076</t>
  </si>
  <si>
    <t>Склад,                          инв. № 633/С-15069</t>
  </si>
  <si>
    <t>Здание ветеринарной аптеки 633/С-15068,  г.Мядель ул.Ленинская,62</t>
  </si>
  <si>
    <t>Столовая, инв. 54</t>
  </si>
  <si>
    <t>кол-во строений</t>
  </si>
  <si>
    <t xml:space="preserve">Наименование организации, место нахождения </t>
  </si>
  <si>
    <t>Наименование неиспользуемого объекта, инвентарный номер по ЕГРНИ или бухгалтерскому учету</t>
  </si>
  <si>
    <t>Общая площадь объекта, кв. м. / неиспользуемая площадь, кв.м.</t>
  </si>
  <si>
    <t>Планируемый способ вовлечения в хозяйственный оборот объекта</t>
  </si>
  <si>
    <t>Планируемый способ вовлечения в хозяйственный оборот объекта (по строениям)</t>
  </si>
  <si>
    <t xml:space="preserve">Срок вовлечения объекта в хозяйственный оборот </t>
  </si>
  <si>
    <t>Примечание</t>
  </si>
  <si>
    <t>1.1. объекты, находящиеся в собственности Республики Беларусь</t>
  </si>
  <si>
    <t>район</t>
  </si>
  <si>
    <t>Общие итоги</t>
  </si>
  <si>
    <t>Государственное имущество</t>
  </si>
  <si>
    <t>Имущество ОАО c долей государства более 50 %</t>
  </si>
  <si>
    <t>Имущество иной частной собственности</t>
  </si>
  <si>
    <t>Безхозяйное имущество</t>
  </si>
  <si>
    <t>справочно:</t>
  </si>
  <si>
    <t>Имущество ОАО c долей государства</t>
  </si>
  <si>
    <t>Итого по госимуществу</t>
  </si>
  <si>
    <t>республиканская</t>
  </si>
  <si>
    <t>областная</t>
  </si>
  <si>
    <t>районная</t>
  </si>
  <si>
    <t>Итого по ОАО (доля государства более 50 %)</t>
  </si>
  <si>
    <t>с долей Республики Беларусь более 50 %</t>
  </si>
  <si>
    <t>с долей Минской области более 50 %</t>
  </si>
  <si>
    <t>с долей районов (г.Жодино) более 50 %</t>
  </si>
  <si>
    <t>Итого</t>
  </si>
  <si>
    <t>Итого по ОАО ( доля государства менее 50%)</t>
  </si>
  <si>
    <t>ОАО с долей Республики Беларусь менее 50 %</t>
  </si>
  <si>
    <t>ОАО с долей Минской области менее 50 %</t>
  </si>
  <si>
    <t>ОАО с долей районов (г.Жодино) менее 50 %</t>
  </si>
  <si>
    <t>РАЙПО</t>
  </si>
  <si>
    <t>иное (физ.лиц, ЗАО, КХП, СПК     и др.)</t>
  </si>
  <si>
    <t>Итого по ОАО</t>
  </si>
  <si>
    <t>с долей Республики Беларусь</t>
  </si>
  <si>
    <t>с долей Минской области</t>
  </si>
  <si>
    <t>с долей районов (г.Жодино)</t>
  </si>
  <si>
    <t>всего</t>
  </si>
  <si>
    <t>посл. годы</t>
  </si>
  <si>
    <t>план</t>
  </si>
  <si>
    <t>факт</t>
  </si>
  <si>
    <t>%</t>
  </si>
  <si>
    <t>передача</t>
  </si>
  <si>
    <t>использование</t>
  </si>
  <si>
    <t>КАП.СТРОЕНИЯ</t>
  </si>
  <si>
    <t>Мядельский</t>
  </si>
  <si>
    <t>республика</t>
  </si>
  <si>
    <t>область</t>
  </si>
  <si>
    <t xml:space="preserve"> Учреждение образования "Вилейский государственный колледж",
Вилейский район, г. Вилейка,
ул. Гагарина, 4</t>
  </si>
  <si>
    <t>республика50б</t>
  </si>
  <si>
    <t xml:space="preserve">Сельскохозяйственный филиал "Дягили" Открытого акционерного общества "Минский моторный завод", Мядельский район, д. Дягили, ул. Центральная         </t>
  </si>
  <si>
    <t>район50б</t>
  </si>
  <si>
    <t>2. Объекты, находящиеся в собственности хозяйственных обществ с долей района более 50 процентов</t>
  </si>
  <si>
    <t>республика50м</t>
  </si>
  <si>
    <t>райпо</t>
  </si>
  <si>
    <t>Бесхозяйное имущество</t>
  </si>
  <si>
    <t>инаяч</t>
  </si>
  <si>
    <t>бесхозяйное</t>
  </si>
  <si>
    <t xml:space="preserve">3. Иная частная собственность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</si>
  <si>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 объекты, находящиеся в собственности хозяйственных обществ с долей государства менее 50 процентов</t>
  </si>
  <si>
    <t>Республиканское унитарное предприятие автомобильных дорог "Минскавтодор-Центр", г. Минск, ул. Кальварийская, 37</t>
  </si>
  <si>
    <t xml:space="preserve">Открытое акционерное общество "ДОРОРС" Министерства транспорта и коммуникаций Республики Беларусь,   г. Минск ул. Бресткая, 77/1-2 </t>
  </si>
  <si>
    <t xml:space="preserve">Открытое акционерное общество "БЕЛЗООВЕТСНАБПРОМ" Унитарное предприятие "База Белзооветснаб" г.Молодечно </t>
  </si>
  <si>
    <t>Открытое акционерное общество "Мядельагросервис", 
Мядельский район, г. Мядель,                          ул. Промышленная, 1</t>
  </si>
  <si>
    <r>
      <t>Открытое акционерное общество "Сватки",                            Мядельский район, аг. Сватки</t>
    </r>
    <r>
      <rPr>
        <sz val="10"/>
        <color indexed="8"/>
        <rFont val="Times New Roman"/>
        <family val="1"/>
        <charset val="204"/>
      </rPr>
      <t xml:space="preserve">        
</t>
    </r>
  </si>
  <si>
    <r>
      <t xml:space="preserve">Открытое акционерное общество "Свирь-агро", Мядельский район, г.п. Свирь            </t>
    </r>
    <r>
      <rPr>
        <sz val="10"/>
        <color indexed="8"/>
        <rFont val="Times New Roman"/>
        <family val="1"/>
        <charset val="204"/>
      </rPr>
      <t xml:space="preserve">       
 </t>
    </r>
  </si>
  <si>
    <t xml:space="preserve">Открытое акционерное общество "Слободская заря", Мядельский район, аг. Слобода </t>
  </si>
  <si>
    <r>
      <t xml:space="preserve">Открытое акционерное общество "Прудники-Агро",                                           Мядельский район, д. Прудники  </t>
    </r>
    <r>
      <rPr>
        <b/>
        <sz val="10"/>
        <color indexed="8"/>
        <rFont val="Times New Roman"/>
        <family val="1"/>
        <charset val="204"/>
      </rPr>
      <t xml:space="preserve">           
</t>
    </r>
  </si>
  <si>
    <r>
      <t xml:space="preserve">Открытое акционерное общество "Мядельское агропромэнерго",                       г. Мядель, ул. Интернациональная, 26  </t>
    </r>
    <r>
      <rPr>
        <sz val="10"/>
        <color indexed="8"/>
        <rFont val="Times New Roman"/>
        <family val="1"/>
        <charset val="204"/>
      </rPr>
      <t xml:space="preserve">       
</t>
    </r>
  </si>
  <si>
    <t>Общество с ограниченной ответственностью "ЗД инвест", Минская область,   г.  Минск, ул. Я.Колоса, 39 а</t>
  </si>
  <si>
    <t>Совместное общество с ограниченной отвественностью «Лига удачи», Минская область, г. Минск, ул. Революционная, д. 9А, пом. 3</t>
  </si>
  <si>
    <t>Общество с ограниченной ответственностью «Сельскохозяйственная производственная строительная региональная корпорация «Голден Флис», 223053, Минский район, д. Боровая, д.1, комната 338</t>
  </si>
  <si>
    <t>определение собственника</t>
  </si>
  <si>
    <t>Справочно: варианты заполнения</t>
  </si>
  <si>
    <t>отметка о вовлечении в хозяйстввенный оборот</t>
  </si>
  <si>
    <t>форма собственности</t>
  </si>
  <si>
    <t>продан;
арендован;
передан;
используется;
учтен;
определен</t>
  </si>
  <si>
    <t>республика;
область;
район;
республика50б;
область50б;
район50б;</t>
  </si>
  <si>
    <t>бесхозяйные</t>
  </si>
  <si>
    <t>объектов</t>
  </si>
  <si>
    <t>строений</t>
  </si>
  <si>
    <r>
      <t xml:space="preserve">1. </t>
    </r>
    <r>
      <rPr>
        <b/>
        <sz val="11"/>
        <color theme="1"/>
        <rFont val="Calibri"/>
        <family val="2"/>
        <charset val="204"/>
        <scheme val="minor"/>
      </rPr>
      <t>определен</t>
    </r>
    <r>
      <rPr>
        <sz val="10"/>
        <rFont val="Arial Cyr"/>
        <charset val="204"/>
      </rPr>
      <t xml:space="preserve"> собственник</t>
    </r>
  </si>
  <si>
    <r>
      <t xml:space="preserve">2. поставлен на </t>
    </r>
    <r>
      <rPr>
        <b/>
        <sz val="11"/>
        <color theme="1"/>
        <rFont val="Calibri"/>
        <family val="2"/>
        <charset val="204"/>
        <scheme val="minor"/>
      </rPr>
      <t>учет</t>
    </r>
  </si>
  <si>
    <t xml:space="preserve">Перечень неиспользуемых и неэффективно используемых нежилых объектов недвижимого имущества, </t>
  </si>
  <si>
    <t xml:space="preserve">расположенных  на территории Мядельского района, подлежащих вовлечению в хозяйственный оборот </t>
  </si>
  <si>
    <t xml:space="preserve">1. Государстввенное имущество </t>
  </si>
  <si>
    <t>критерии для подсчета данных</t>
  </si>
  <si>
    <t>безхозяйное</t>
  </si>
  <si>
    <t>здание музея</t>
  </si>
  <si>
    <t>Мядельский район, аг.Нарочь, ул.Пионерская, 54</t>
  </si>
  <si>
    <t>Здание склада строител</t>
  </si>
  <si>
    <t>Здание мастерских,  пристройка и гараж</t>
  </si>
  <si>
    <t>ИП Жукова Виктория Геннадьевна  (Лях Олег Иванович)</t>
  </si>
  <si>
    <r>
      <t xml:space="preserve">Открытое акционерное общество "Сватки",                                           Мядельский район, д. Прудники      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- 97,18%                     
</t>
    </r>
  </si>
  <si>
    <t>Зерносклад</t>
  </si>
  <si>
    <t xml:space="preserve">здание  гостиничного комплекса </t>
  </si>
  <si>
    <t>к.п. Нарочь, ул.Октябрьская</t>
  </si>
  <si>
    <t>здание  гостиничного комплекса гр Волков А.Н.</t>
  </si>
  <si>
    <t xml:space="preserve">ООО "Юнисинвест" аг.Нарочь, ул.Садовая </t>
  </si>
  <si>
    <t>РКУП "Вилейский водоканал" г.Вилейка, ул.Советская, 91А</t>
  </si>
  <si>
    <t>административное здание</t>
  </si>
  <si>
    <t>к.п. Нарочь, ул.Октябрьская, 12</t>
  </si>
  <si>
    <t>к.п. Нарочь, ул.Садовая</t>
  </si>
  <si>
    <t xml:space="preserve">ОДО «Юнайтед-Карго», 
220092, г.Минск, ул. Притыцкого 29, оф.612, 
+375 (29) 164-49-53
</t>
  </si>
  <si>
    <t>магазин -кафе</t>
  </si>
  <si>
    <t>к.п. Нарочь, ул. Ленинская</t>
  </si>
  <si>
    <t>здание магазина</t>
  </si>
  <si>
    <t xml:space="preserve">а.г.Нарочь, ул.Первомайская, </t>
  </si>
  <si>
    <t>физ лицоо Поплевко Екатерина Константиновна аг. Нарочь, 80291779102</t>
  </si>
  <si>
    <t xml:space="preserve">ООО «ТК Юнион»,
211415, г. Полоцк, ул. Стрелецкая, 5-1Д,
тел. номер изменился, не известен
</t>
  </si>
  <si>
    <t>здание АЗС</t>
  </si>
  <si>
    <t>д.Швакшты</t>
  </si>
  <si>
    <t>ОАО "Белрыба" 220024 г.Минск, пер. Стебенева, 2
8017 351-79-24</t>
  </si>
  <si>
    <t>д.Лещинск</t>
  </si>
  <si>
    <t>Пожарный пост, аг. Нарочь, ул. Заречная</t>
  </si>
  <si>
    <t>аг.Нарочь, ул.Заречная</t>
  </si>
  <si>
    <t>фото временно отсуствует</t>
  </si>
  <si>
    <t>здание строительный</t>
  </si>
  <si>
    <t>здание бывшей школы</t>
  </si>
  <si>
    <t>Мядельский район, д.Комарово. Школьная, 12</t>
  </si>
  <si>
    <t xml:space="preserve"> </t>
  </si>
  <si>
    <t>капитальное строение</t>
  </si>
  <si>
    <t>д.Комарово</t>
  </si>
  <si>
    <t>здание магазина №30073</t>
  </si>
  <si>
    <t>здание магазина №447</t>
  </si>
  <si>
    <t>д.Илово, ул.Заводская, 5</t>
  </si>
  <si>
    <t xml:space="preserve">культурно-просветительское </t>
  </si>
  <si>
    <t>Управление по образованию и спотру  Мядельского районного исполнительного комитета, г.Мядель, пл.Шаранговича, УНП 600097211</t>
  </si>
  <si>
    <t>капитальное строение здание клуба 010058</t>
  </si>
  <si>
    <t>Сектор культуры Мядельского районного исполнительного комитета, г.Мядель, ул.Шаранговича УНП 600097145                                                    (ИЗ БЕСХОЗЯЙНОГО)</t>
  </si>
  <si>
    <r>
      <rPr>
        <b/>
        <i/>
        <sz val="9"/>
        <rFont val="Times New Roman"/>
        <family val="1"/>
        <charset val="204"/>
      </rPr>
      <t xml:space="preserve">Будславский сельский исполнительный комитет                                           </t>
    </r>
    <r>
      <rPr>
        <b/>
        <i/>
        <u/>
        <sz val="9"/>
        <rFont val="Times New Roman"/>
        <family val="1"/>
        <charset val="204"/>
      </rPr>
      <t xml:space="preserve">   (ИЗ ПЕРЕЧНЯ по СНОСУ)</t>
    </r>
  </si>
  <si>
    <t>РЫНОК</t>
  </si>
  <si>
    <t>незавершенное капиатльное строение СТО</t>
  </si>
  <si>
    <t>специализированое для обслуживания</t>
  </si>
  <si>
    <t>к.п.Нарочь, ул.Октябрьская,28</t>
  </si>
  <si>
    <t>Нарочский сельский исполнительный комитет , аг.Нарочь, ул.Первомайская, 49                                 комплекс незавершенных законсервированных капитальных строений</t>
  </si>
  <si>
    <t>вблизи д. Тюкши</t>
  </si>
  <si>
    <t>Здание,                     админ зд                     инв. №  110053</t>
  </si>
  <si>
    <t>Первый заметитель председателя- начальник управления по сельскому хозяйству и продовольствию</t>
  </si>
  <si>
    <t>Утверждаю:</t>
  </si>
  <si>
    <t>А.В.Морозов</t>
  </si>
  <si>
    <r>
      <t xml:space="preserve">Открытое акционерное общество "Мядельанросервис", г.Мядель, ,                  </t>
    </r>
    <r>
      <rPr>
        <i/>
        <sz val="9"/>
        <rFont val="Times New Roman"/>
        <family val="1"/>
        <charset val="204"/>
      </rPr>
      <t>(ОАО "Слободская заря"</t>
    </r>
    <r>
      <rPr>
        <sz val="9"/>
        <rFont val="Times New Roman"/>
        <family val="1"/>
        <charset val="204"/>
      </rPr>
      <t xml:space="preserve">)     </t>
    </r>
    <r>
      <rPr>
        <b/>
        <sz val="10"/>
        <color indexed="8"/>
        <rFont val="Times New Roman"/>
        <family val="1"/>
        <charset val="204"/>
      </rPr>
      <t xml:space="preserve">Доля Мядельского района - 94,75%
</t>
    </r>
  </si>
  <si>
    <t>Незавершенное законсервированное капитальное строение (готовностью 9%)   633/U -13301</t>
  </si>
  <si>
    <t>Незавершенное законсервированное капитальное строение (готовностью 89%)  633/U -13299</t>
  </si>
  <si>
    <t>Незавершенное законсервированное капитальное строение (готовностью 10%)  633/U -13300</t>
  </si>
  <si>
    <t>Незавершенное законсервированное  сооружение (готовностью 57%)  633/U -13302 сооружение</t>
  </si>
  <si>
    <t>A2:N16E24A2:N17A2:N17A2:N18A2:N19A2:N24</t>
  </si>
  <si>
    <t xml:space="preserve">капитальное строение </t>
  </si>
  <si>
    <t>Занарочский сельский исполнительный комитет  УНП 600097408, аг.Занарочь, ул.Октябрьская,1</t>
  </si>
  <si>
    <t>д.Черемшицы,40</t>
  </si>
  <si>
    <t>Мядельский район,            д.Константиново</t>
  </si>
  <si>
    <t>продан</t>
  </si>
  <si>
    <t>г. Минск</t>
  </si>
  <si>
    <t>Общество с ограниченной ответственностью  «Паралимини-Групп», 
г. Минск,
ул. Павловского, д.76, ком. 1</t>
  </si>
  <si>
    <t xml:space="preserve">Минское областное управление Министерства по чрезвычайным  ситуациям Республики Беларусь
</t>
  </si>
  <si>
    <t>Мядельский район,                 г.п. Свирь,                          ул. Советская, 126</t>
  </si>
  <si>
    <t xml:space="preserve">Мядельский район,                 г.п. Свирь,  ул. Советская, 60                </t>
  </si>
  <si>
    <t>Мядельский район,              г.п. Кривичи,                          ул. 17 Сентября, 15А</t>
  </si>
  <si>
    <t>Мядельский район,            д. Комарово, ул. Зеленая, 13</t>
  </si>
  <si>
    <t>НЕТ ПО ДАННЫМ РАЙПО</t>
  </si>
  <si>
    <t>перенесен в перечень под СНОС 06.05.2026</t>
  </si>
  <si>
    <t>перенесен в перечень под Снос  06.05.2026</t>
  </si>
  <si>
    <t>Здание магазина,    инв. № 525</t>
  </si>
  <si>
    <t>Мядельский район,       д.Калиновка, д.19А</t>
  </si>
  <si>
    <t>добавлен 06.05.2026 по  данным РАЙПО</t>
  </si>
  <si>
    <t>Магазин,          Свирь                 инв. № 300066</t>
  </si>
  <si>
    <t>Мядельский район,                 г.п. Свирь,                          ул. Советская, 45</t>
  </si>
  <si>
    <t>Мядельский район,            г.п.Кривичи, ул. 17 Сентября, д.62</t>
  </si>
  <si>
    <t>перенесен в перечень под СНОС 06.05.2027</t>
  </si>
  <si>
    <t xml:space="preserve">Мядельское районное потребительское общество, Мядельский район,                                      г. Мядель, ул. 1 Мая,  2 </t>
  </si>
  <si>
    <t>здание магазина           № 110023</t>
  </si>
  <si>
    <t>склад     Продсклад,                            инв. № 492</t>
  </si>
  <si>
    <t xml:space="preserve">  склад     Продсклад,                                      инв. № 491</t>
  </si>
  <si>
    <t>Магазин,                           инв. № 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</si>
</sst>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Bookman Old Style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F5C8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1">
    <xf numFmtId="0" fontId="0" fillId="0" borderId="0" xfId="0"/>
    <xf numFmtId="0" fontId="5" fillId="2" borderId="0" xfId="0" applyFont="1" applyFill="1" applyAlignment="1">
      <alignment vertical="top" wrapText="1"/>
    </xf>
    <xf numFmtId="0" fontId="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10" fillId="0" borderId="0" xfId="0" applyFont="1" applyFill="1" applyAlignment="1" applyProtection="1">
      <alignment vertical="top" wrapText="1"/>
      <protection locked="0"/>
    </xf>
    <xf numFmtId="0" fontId="10" fillId="0" borderId="0" xfId="0" applyFont="1" applyFill="1" applyAlignment="1" applyProtection="1">
      <alignment vertical="top" wrapText="1"/>
    </xf>
    <xf numFmtId="0" fontId="10" fillId="0" borderId="0" xfId="0" applyFont="1" applyFill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vertical="top" wrapText="1"/>
    </xf>
    <xf numFmtId="0" fontId="11" fillId="0" borderId="0" xfId="0" applyFont="1" applyFill="1" applyAlignment="1" applyProtection="1">
      <alignment vertical="top" wrapText="1"/>
      <protection locked="0"/>
    </xf>
    <xf numFmtId="0" fontId="11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horizontal="left" vertical="top"/>
      <protection locked="0"/>
    </xf>
    <xf numFmtId="0" fontId="11" fillId="0" borderId="0" xfId="0" applyFont="1" applyFill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Alignment="1">
      <alignment vertical="top" wrapText="1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vertical="top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1" fillId="0" borderId="5" xfId="0" applyFont="1" applyFill="1" applyBorder="1" applyAlignment="1" applyProtection="1">
      <alignment vertical="top"/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10" borderId="5" xfId="0" applyFont="1" applyFill="1" applyBorder="1" applyAlignment="1" applyProtection="1">
      <alignment horizontal="center" vertical="center" wrapText="1"/>
      <protection locked="0"/>
    </xf>
    <xf numFmtId="0" fontId="12" fillId="11" borderId="5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3" fillId="12" borderId="12" xfId="0" applyFont="1" applyFill="1" applyBorder="1" applyProtection="1">
      <protection locked="0"/>
    </xf>
    <xf numFmtId="0" fontId="14" fillId="0" borderId="13" xfId="0" applyFont="1" applyFill="1" applyBorder="1" applyAlignment="1" applyProtection="1">
      <alignment horizontal="center"/>
    </xf>
    <xf numFmtId="0" fontId="14" fillId="8" borderId="32" xfId="0" applyFont="1" applyFill="1" applyBorder="1" applyAlignment="1" applyProtection="1">
      <alignment horizontal="center"/>
    </xf>
    <xf numFmtId="0" fontId="14" fillId="8" borderId="33" xfId="0" applyFont="1" applyFill="1" applyBorder="1" applyAlignment="1" applyProtection="1">
      <alignment horizontal="center"/>
    </xf>
    <xf numFmtId="164" fontId="15" fillId="8" borderId="33" xfId="0" applyNumberFormat="1" applyFont="1" applyFill="1" applyBorder="1" applyAlignment="1" applyProtection="1">
      <alignment horizontal="center"/>
    </xf>
    <xf numFmtId="0" fontId="14" fillId="0" borderId="15" xfId="0" applyFont="1" applyFill="1" applyBorder="1" applyAlignment="1" applyProtection="1">
      <alignment horizontal="center"/>
    </xf>
    <xf numFmtId="0" fontId="14" fillId="0" borderId="14" xfId="0" applyFont="1" applyFill="1" applyBorder="1" applyAlignment="1" applyProtection="1">
      <alignment horizontal="center"/>
    </xf>
    <xf numFmtId="0" fontId="14" fillId="10" borderId="32" xfId="0" applyFont="1" applyFill="1" applyBorder="1" applyAlignment="1" applyProtection="1">
      <alignment horizontal="center"/>
    </xf>
    <xf numFmtId="0" fontId="14" fillId="10" borderId="33" xfId="0" applyFont="1" applyFill="1" applyBorder="1" applyAlignment="1" applyProtection="1">
      <alignment horizontal="center"/>
    </xf>
    <xf numFmtId="164" fontId="15" fillId="10" borderId="33" xfId="0" applyNumberFormat="1" applyFont="1" applyFill="1" applyBorder="1" applyAlignment="1" applyProtection="1">
      <alignment horizontal="center"/>
    </xf>
    <xf numFmtId="0" fontId="14" fillId="0" borderId="34" xfId="0" applyFont="1" applyFill="1" applyBorder="1" applyAlignment="1" applyProtection="1">
      <alignment horizontal="center"/>
    </xf>
    <xf numFmtId="0" fontId="14" fillId="0" borderId="33" xfId="0" applyFont="1" applyFill="1" applyBorder="1" applyAlignment="1" applyProtection="1">
      <alignment horizontal="center"/>
    </xf>
    <xf numFmtId="164" fontId="16" fillId="0" borderId="33" xfId="0" applyNumberFormat="1" applyFont="1" applyBorder="1" applyAlignment="1" applyProtection="1">
      <alignment horizontal="center"/>
    </xf>
    <xf numFmtId="0" fontId="14" fillId="5" borderId="35" xfId="0" applyFont="1" applyFill="1" applyBorder="1" applyAlignment="1" applyProtection="1">
      <alignment horizontal="center"/>
    </xf>
    <xf numFmtId="164" fontId="15" fillId="5" borderId="35" xfId="0" applyNumberFormat="1" applyFont="1" applyFill="1" applyBorder="1" applyAlignment="1" applyProtection="1">
      <alignment horizontal="center"/>
    </xf>
    <xf numFmtId="0" fontId="14" fillId="0" borderId="36" xfId="0" applyFont="1" applyFill="1" applyBorder="1" applyAlignment="1" applyProtection="1">
      <alignment horizontal="center"/>
    </xf>
    <xf numFmtId="0" fontId="14" fillId="6" borderId="35" xfId="0" applyFont="1" applyFill="1" applyBorder="1" applyAlignment="1" applyProtection="1">
      <alignment horizontal="center"/>
    </xf>
    <xf numFmtId="164" fontId="15" fillId="6" borderId="35" xfId="0" applyNumberFormat="1" applyFont="1" applyFill="1" applyBorder="1" applyAlignment="1" applyProtection="1">
      <alignment horizontal="center"/>
    </xf>
    <xf numFmtId="0" fontId="14" fillId="3" borderId="35" xfId="0" applyFont="1" applyFill="1" applyBorder="1" applyAlignment="1" applyProtection="1">
      <alignment horizontal="center"/>
    </xf>
    <xf numFmtId="164" fontId="15" fillId="3" borderId="35" xfId="0" applyNumberFormat="1" applyFont="1" applyFill="1" applyBorder="1" applyAlignment="1" applyProtection="1">
      <alignment horizontal="center"/>
    </xf>
    <xf numFmtId="0" fontId="12" fillId="0" borderId="0" xfId="0" applyFont="1" applyFill="1" applyProtection="1">
      <protection locked="0"/>
    </xf>
    <xf numFmtId="0" fontId="14" fillId="5" borderId="32" xfId="0" applyFont="1" applyFill="1" applyBorder="1" applyAlignment="1" applyProtection="1">
      <alignment horizontal="center"/>
    </xf>
    <xf numFmtId="0" fontId="14" fillId="5" borderId="33" xfId="0" applyFont="1" applyFill="1" applyBorder="1" applyAlignment="1" applyProtection="1">
      <alignment horizontal="center"/>
    </xf>
    <xf numFmtId="164" fontId="15" fillId="5" borderId="33" xfId="0" applyNumberFormat="1" applyFont="1" applyFill="1" applyBorder="1" applyAlignment="1" applyProtection="1">
      <alignment horizontal="center"/>
    </xf>
    <xf numFmtId="0" fontId="14" fillId="0" borderId="32" xfId="0" applyFont="1" applyFill="1" applyBorder="1" applyAlignment="1" applyProtection="1">
      <alignment horizontal="center"/>
    </xf>
    <xf numFmtId="164" fontId="15" fillId="0" borderId="33" xfId="0" applyNumberFormat="1" applyFont="1" applyFill="1" applyBorder="1" applyAlignment="1" applyProtection="1">
      <alignment horizontal="center"/>
    </xf>
    <xf numFmtId="0" fontId="12" fillId="0" borderId="37" xfId="0" applyFont="1" applyBorder="1" applyProtection="1">
      <protection locked="0"/>
    </xf>
    <xf numFmtId="0" fontId="17" fillId="0" borderId="20" xfId="0" applyFont="1" applyBorder="1" applyAlignment="1" applyProtection="1">
      <alignment horizontal="center"/>
    </xf>
    <xf numFmtId="0" fontId="17" fillId="8" borderId="4" xfId="0" applyFont="1" applyFill="1" applyBorder="1" applyAlignment="1" applyProtection="1">
      <alignment horizontal="center"/>
    </xf>
    <xf numFmtId="0" fontId="17" fillId="8" borderId="10" xfId="0" applyFont="1" applyFill="1" applyBorder="1" applyAlignment="1" applyProtection="1">
      <alignment horizontal="center"/>
    </xf>
    <xf numFmtId="164" fontId="0" fillId="8" borderId="10" xfId="0" applyNumberFormat="1" applyFont="1" applyFill="1" applyBorder="1" applyAlignment="1" applyProtection="1">
      <alignment horizontal="center"/>
    </xf>
    <xf numFmtId="0" fontId="17" fillId="0" borderId="21" xfId="0" applyFont="1" applyBorder="1" applyAlignment="1" applyProtection="1">
      <alignment horizontal="center"/>
    </xf>
    <xf numFmtId="0" fontId="17" fillId="0" borderId="9" xfId="0" applyFont="1" applyBorder="1" applyAlignment="1" applyProtection="1">
      <alignment horizontal="center"/>
    </xf>
    <xf numFmtId="0" fontId="17" fillId="10" borderId="4" xfId="0" applyFont="1" applyFill="1" applyBorder="1" applyAlignment="1" applyProtection="1">
      <alignment horizontal="center"/>
    </xf>
    <xf numFmtId="0" fontId="17" fillId="10" borderId="10" xfId="0" applyFont="1" applyFill="1" applyBorder="1" applyAlignment="1" applyProtection="1">
      <alignment horizontal="center"/>
    </xf>
    <xf numFmtId="164" fontId="0" fillId="10" borderId="10" xfId="0" applyNumberFormat="1" applyFont="1" applyFill="1" applyBorder="1" applyAlignment="1" applyProtection="1">
      <alignment horizontal="center"/>
    </xf>
    <xf numFmtId="0" fontId="17" fillId="0" borderId="38" xfId="0" applyFont="1" applyBorder="1" applyAlignment="1" applyProtection="1">
      <alignment horizontal="center"/>
    </xf>
    <xf numFmtId="0" fontId="17" fillId="0" borderId="39" xfId="0" applyFont="1" applyBorder="1" applyAlignment="1" applyProtection="1">
      <alignment horizontal="center"/>
    </xf>
    <xf numFmtId="164" fontId="0" fillId="0" borderId="39" xfId="0" applyNumberFormat="1" applyFont="1" applyBorder="1" applyAlignment="1" applyProtection="1">
      <alignment horizontal="center"/>
    </xf>
    <xf numFmtId="0" fontId="17" fillId="0" borderId="4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28" xfId="0" applyFont="1" applyBorder="1" applyAlignment="1" applyProtection="1">
      <alignment horizontal="center"/>
    </xf>
    <xf numFmtId="0" fontId="17" fillId="5" borderId="6" xfId="0" applyFont="1" applyFill="1" applyBorder="1" applyAlignment="1" applyProtection="1">
      <alignment horizontal="center"/>
    </xf>
    <xf numFmtId="164" fontId="0" fillId="5" borderId="6" xfId="0" applyNumberFormat="1" applyFont="1" applyFill="1" applyBorder="1" applyAlignment="1" applyProtection="1">
      <alignment horizontal="center"/>
    </xf>
    <xf numFmtId="0" fontId="17" fillId="0" borderId="41" xfId="0" applyFont="1" applyBorder="1" applyAlignment="1" applyProtection="1">
      <alignment horizontal="center"/>
    </xf>
    <xf numFmtId="0" fontId="17" fillId="0" borderId="42" xfId="0" applyFont="1" applyFill="1" applyBorder="1" applyAlignment="1" applyProtection="1">
      <alignment horizontal="center"/>
    </xf>
    <xf numFmtId="0" fontId="17" fillId="6" borderId="7" xfId="0" applyFont="1" applyFill="1" applyBorder="1" applyAlignment="1" applyProtection="1">
      <alignment horizontal="center"/>
    </xf>
    <xf numFmtId="164" fontId="0" fillId="6" borderId="7" xfId="0" applyNumberFormat="1" applyFont="1" applyFill="1" applyBorder="1" applyAlignment="1" applyProtection="1">
      <alignment horizontal="center"/>
    </xf>
    <xf numFmtId="0" fontId="17" fillId="0" borderId="43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7" fillId="3" borderId="7" xfId="0" applyFont="1" applyFill="1" applyBorder="1" applyAlignment="1" applyProtection="1">
      <alignment horizontal="center"/>
    </xf>
    <xf numFmtId="164" fontId="0" fillId="3" borderId="7" xfId="0" applyNumberFormat="1" applyFont="1" applyFill="1" applyBorder="1" applyAlignment="1" applyProtection="1">
      <alignment horizontal="center"/>
    </xf>
    <xf numFmtId="0" fontId="12" fillId="0" borderId="0" xfId="0" applyFont="1" applyProtection="1">
      <protection locked="0"/>
    </xf>
    <xf numFmtId="0" fontId="17" fillId="5" borderId="4" xfId="0" applyFont="1" applyFill="1" applyBorder="1" applyAlignment="1" applyProtection="1">
      <alignment horizontal="center"/>
    </xf>
    <xf numFmtId="0" fontId="17" fillId="5" borderId="10" xfId="0" applyFont="1" applyFill="1" applyBorder="1" applyAlignment="1" applyProtection="1">
      <alignment horizontal="center"/>
    </xf>
    <xf numFmtId="164" fontId="0" fillId="5" borderId="10" xfId="0" applyNumberFormat="1" applyFont="1" applyFill="1" applyBorder="1" applyAlignment="1" applyProtection="1">
      <alignment horizontal="center"/>
    </xf>
    <xf numFmtId="0" fontId="17" fillId="0" borderId="4" xfId="0" applyFont="1" applyFill="1" applyBorder="1" applyAlignment="1" applyProtection="1">
      <alignment horizontal="center"/>
    </xf>
    <xf numFmtId="0" fontId="17" fillId="0" borderId="10" xfId="0" applyFont="1" applyFill="1" applyBorder="1" applyAlignment="1" applyProtection="1">
      <alignment horizontal="center"/>
    </xf>
    <xf numFmtId="164" fontId="0" fillId="0" borderId="10" xfId="0" applyNumberFormat="1" applyFont="1" applyFill="1" applyBorder="1" applyAlignment="1" applyProtection="1">
      <alignment horizontal="center"/>
    </xf>
    <xf numFmtId="0" fontId="17" fillId="0" borderId="21" xfId="0" applyFont="1" applyFill="1" applyBorder="1" applyAlignment="1" applyProtection="1">
      <alignment horizontal="center"/>
    </xf>
    <xf numFmtId="0" fontId="17" fillId="0" borderId="20" xfId="0" applyFont="1" applyFill="1" applyBorder="1" applyAlignment="1" applyProtection="1">
      <alignment horizontal="center"/>
    </xf>
    <xf numFmtId="0" fontId="17" fillId="0" borderId="44" xfId="0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164" fontId="0" fillId="0" borderId="3" xfId="0" applyNumberFormat="1" applyFont="1" applyBorder="1" applyAlignment="1" applyProtection="1">
      <alignment horizontal="center"/>
    </xf>
    <xf numFmtId="0" fontId="17" fillId="0" borderId="27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horizontal="center"/>
    </xf>
    <xf numFmtId="0" fontId="17" fillId="0" borderId="28" xfId="0" applyFont="1" applyFill="1" applyBorder="1" applyAlignment="1" applyProtection="1">
      <alignment horizontal="center"/>
    </xf>
    <xf numFmtId="0" fontId="17" fillId="6" borderId="6" xfId="0" applyFont="1" applyFill="1" applyBorder="1" applyAlignment="1" applyProtection="1">
      <alignment horizontal="center"/>
    </xf>
    <xf numFmtId="164" fontId="0" fillId="6" borderId="6" xfId="0" applyNumberFormat="1" applyFont="1" applyFill="1" applyBorder="1" applyAlignment="1" applyProtection="1">
      <alignment horizontal="center"/>
    </xf>
    <xf numFmtId="0" fontId="17" fillId="0" borderId="41" xfId="0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/>
    </xf>
    <xf numFmtId="0" fontId="17" fillId="3" borderId="6" xfId="0" applyFont="1" applyFill="1" applyBorder="1" applyAlignment="1" applyProtection="1">
      <alignment horizontal="center"/>
    </xf>
    <xf numFmtId="164" fontId="0" fillId="3" borderId="6" xfId="0" applyNumberFormat="1" applyFont="1" applyFill="1" applyBorder="1" applyAlignment="1" applyProtection="1">
      <alignment horizontal="center"/>
    </xf>
    <xf numFmtId="0" fontId="0" fillId="0" borderId="0" xfId="0" applyFont="1"/>
    <xf numFmtId="164" fontId="16" fillId="0" borderId="3" xfId="0" applyNumberFormat="1" applyFont="1" applyBorder="1" applyAlignment="1" applyProtection="1">
      <alignment horizontal="center"/>
    </xf>
    <xf numFmtId="0" fontId="17" fillId="0" borderId="45" xfId="0" applyFont="1" applyBorder="1" applyAlignment="1" applyProtection="1">
      <alignment horizontal="center"/>
    </xf>
    <xf numFmtId="0" fontId="17" fillId="0" borderId="46" xfId="0" applyFont="1" applyBorder="1" applyAlignment="1" applyProtection="1">
      <alignment horizontal="center"/>
    </xf>
    <xf numFmtId="164" fontId="16" fillId="0" borderId="46" xfId="0" applyNumberFormat="1" applyFont="1" applyBorder="1" applyAlignment="1" applyProtection="1">
      <alignment horizontal="center"/>
    </xf>
    <xf numFmtId="0" fontId="17" fillId="0" borderId="47" xfId="0" applyFont="1" applyBorder="1" applyAlignment="1" applyProtection="1">
      <alignment horizontal="center"/>
    </xf>
    <xf numFmtId="0" fontId="17" fillId="0" borderId="48" xfId="0" applyFont="1" applyBorder="1" applyAlignment="1" applyProtection="1">
      <alignment horizontal="center"/>
    </xf>
    <xf numFmtId="0" fontId="17" fillId="0" borderId="49" xfId="0" applyFont="1" applyBorder="1" applyAlignment="1" applyProtection="1">
      <alignment horizontal="center"/>
    </xf>
    <xf numFmtId="0" fontId="17" fillId="5" borderId="50" xfId="0" applyFont="1" applyFill="1" applyBorder="1" applyAlignment="1" applyProtection="1">
      <alignment horizontal="center"/>
    </xf>
    <xf numFmtId="164" fontId="0" fillId="5" borderId="50" xfId="0" applyNumberFormat="1" applyFont="1" applyFill="1" applyBorder="1" applyAlignment="1" applyProtection="1">
      <alignment horizontal="center"/>
    </xf>
    <xf numFmtId="0" fontId="17" fillId="0" borderId="51" xfId="0" applyFont="1" applyBorder="1" applyAlignment="1" applyProtection="1">
      <alignment horizontal="center"/>
    </xf>
    <xf numFmtId="0" fontId="17" fillId="0" borderId="49" xfId="0" applyFont="1" applyFill="1" applyBorder="1" applyAlignment="1" applyProtection="1">
      <alignment horizontal="center"/>
    </xf>
    <xf numFmtId="0" fontId="17" fillId="6" borderId="50" xfId="0" applyFont="1" applyFill="1" applyBorder="1" applyAlignment="1" applyProtection="1">
      <alignment horizontal="center"/>
    </xf>
    <xf numFmtId="164" fontId="0" fillId="6" borderId="50" xfId="0" applyNumberFormat="1" applyFont="1" applyFill="1" applyBorder="1" applyAlignment="1" applyProtection="1">
      <alignment horizontal="center"/>
    </xf>
    <xf numFmtId="0" fontId="17" fillId="0" borderId="51" xfId="0" applyFont="1" applyFill="1" applyBorder="1" applyAlignment="1" applyProtection="1">
      <alignment horizontal="center"/>
    </xf>
    <xf numFmtId="0" fontId="17" fillId="0" borderId="48" xfId="0" applyFont="1" applyFill="1" applyBorder="1" applyAlignment="1" applyProtection="1">
      <alignment horizontal="center"/>
    </xf>
    <xf numFmtId="0" fontId="17" fillId="3" borderId="50" xfId="0" applyFont="1" applyFill="1" applyBorder="1" applyAlignment="1" applyProtection="1">
      <alignment horizontal="center"/>
    </xf>
    <xf numFmtId="164" fontId="0" fillId="3" borderId="50" xfId="0" applyNumberFormat="1" applyFont="1" applyFill="1" applyBorder="1" applyAlignment="1" applyProtection="1">
      <alignment horizontal="center"/>
    </xf>
    <xf numFmtId="0" fontId="13" fillId="13" borderId="12" xfId="0" applyFont="1" applyFill="1" applyBorder="1" applyProtection="1">
      <protection locked="0"/>
    </xf>
    <xf numFmtId="0" fontId="14" fillId="13" borderId="13" xfId="0" applyFont="1" applyFill="1" applyBorder="1" applyAlignment="1" applyProtection="1">
      <alignment horizontal="center"/>
    </xf>
    <xf numFmtId="0" fontId="14" fillId="13" borderId="15" xfId="0" applyFont="1" applyFill="1" applyBorder="1" applyAlignment="1" applyProtection="1">
      <alignment horizontal="center"/>
    </xf>
    <xf numFmtId="0" fontId="14" fillId="13" borderId="14" xfId="0" applyFont="1" applyFill="1" applyBorder="1" applyAlignment="1" applyProtection="1">
      <alignment horizontal="center"/>
    </xf>
    <xf numFmtId="0" fontId="14" fillId="13" borderId="34" xfId="0" applyFont="1" applyFill="1" applyBorder="1" applyAlignment="1" applyProtection="1">
      <alignment horizontal="center"/>
    </xf>
    <xf numFmtId="0" fontId="14" fillId="13" borderId="33" xfId="0" applyFont="1" applyFill="1" applyBorder="1" applyAlignment="1" applyProtection="1">
      <alignment horizontal="center"/>
    </xf>
    <xf numFmtId="164" fontId="14" fillId="13" borderId="33" xfId="0" applyNumberFormat="1" applyFont="1" applyFill="1" applyBorder="1" applyAlignment="1" applyProtection="1">
      <alignment horizontal="center"/>
    </xf>
    <xf numFmtId="0" fontId="14" fillId="13" borderId="36" xfId="0" applyFont="1" applyFill="1" applyBorder="1" applyAlignment="1" applyProtection="1">
      <alignment horizontal="center"/>
    </xf>
    <xf numFmtId="0" fontId="14" fillId="13" borderId="32" xfId="0" applyFont="1" applyFill="1" applyBorder="1" applyAlignment="1" applyProtection="1">
      <alignment horizontal="center"/>
    </xf>
    <xf numFmtId="164" fontId="15" fillId="13" borderId="33" xfId="0" applyNumberFormat="1" applyFont="1" applyFill="1" applyBorder="1" applyAlignment="1" applyProtection="1">
      <alignment horizontal="center"/>
    </xf>
    <xf numFmtId="0" fontId="17" fillId="0" borderId="42" xfId="0" applyFont="1" applyBorder="1" applyAlignment="1" applyProtection="1">
      <alignment horizontal="center"/>
    </xf>
    <xf numFmtId="0" fontId="17" fillId="5" borderId="7" xfId="0" applyFont="1" applyFill="1" applyBorder="1" applyAlignment="1" applyProtection="1">
      <alignment horizontal="center"/>
    </xf>
    <xf numFmtId="164" fontId="0" fillId="5" borderId="7" xfId="0" applyNumberFormat="1" applyFont="1" applyFill="1" applyBorder="1" applyAlignment="1" applyProtection="1">
      <alignment horizontal="center"/>
    </xf>
    <xf numFmtId="0" fontId="17" fillId="0" borderId="43" xfId="0" applyFont="1" applyBorder="1" applyAlignment="1" applyProtection="1">
      <alignment horizontal="center"/>
    </xf>
    <xf numFmtId="0" fontId="12" fillId="0" borderId="29" xfId="0" applyFont="1" applyBorder="1" applyProtection="1">
      <protection locked="0"/>
    </xf>
    <xf numFmtId="0" fontId="17" fillId="0" borderId="52" xfId="0" applyFont="1" applyBorder="1" applyAlignment="1" applyProtection="1">
      <alignment horizontal="center"/>
    </xf>
    <xf numFmtId="0" fontId="17" fillId="8" borderId="53" xfId="0" applyFont="1" applyFill="1" applyBorder="1" applyAlignment="1" applyProtection="1">
      <alignment horizontal="center"/>
    </xf>
    <xf numFmtId="0" fontId="17" fillId="8" borderId="54" xfId="0" applyFont="1" applyFill="1" applyBorder="1" applyAlignment="1" applyProtection="1">
      <alignment horizontal="center"/>
    </xf>
    <xf numFmtId="164" fontId="0" fillId="8" borderId="54" xfId="0" applyNumberFormat="1" applyFont="1" applyFill="1" applyBorder="1" applyAlignment="1" applyProtection="1">
      <alignment horizontal="center"/>
    </xf>
    <xf numFmtId="0" fontId="17" fillId="0" borderId="55" xfId="0" applyFont="1" applyBorder="1" applyAlignment="1" applyProtection="1">
      <alignment horizontal="center"/>
    </xf>
    <xf numFmtId="0" fontId="17" fillId="0" borderId="11" xfId="0" applyFont="1" applyBorder="1" applyAlignment="1" applyProtection="1">
      <alignment horizontal="center"/>
    </xf>
    <xf numFmtId="0" fontId="17" fillId="10" borderId="53" xfId="0" applyFont="1" applyFill="1" applyBorder="1" applyAlignment="1" applyProtection="1">
      <alignment horizontal="center"/>
    </xf>
    <xf numFmtId="0" fontId="17" fillId="10" borderId="54" xfId="0" applyFont="1" applyFill="1" applyBorder="1" applyAlignment="1" applyProtection="1">
      <alignment horizontal="center"/>
    </xf>
    <xf numFmtId="164" fontId="0" fillId="10" borderId="54" xfId="0" applyNumberFormat="1" applyFont="1" applyFill="1" applyBorder="1" applyAlignment="1" applyProtection="1">
      <alignment horizontal="center"/>
    </xf>
    <xf numFmtId="164" fontId="0" fillId="0" borderId="46" xfId="0" applyNumberFormat="1" applyFont="1" applyBorder="1" applyAlignment="1" applyProtection="1">
      <alignment horizontal="center"/>
    </xf>
    <xf numFmtId="1" fontId="10" fillId="0" borderId="0" xfId="0" applyNumberFormat="1" applyFont="1" applyFill="1" applyAlignment="1" applyProtection="1">
      <alignment horizontal="center" vertical="top" wrapText="1"/>
      <protection locked="0"/>
    </xf>
    <xf numFmtId="1" fontId="11" fillId="0" borderId="0" xfId="0" applyNumberFormat="1" applyFont="1" applyFill="1" applyAlignment="1" applyProtection="1">
      <alignment horizontal="center" vertical="top" wrapText="1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Alignment="1" applyProtection="1">
      <alignment horizontal="center" vertical="top" wrapText="1"/>
      <protection locked="0"/>
    </xf>
    <xf numFmtId="0" fontId="18" fillId="0" borderId="0" xfId="0" applyFont="1" applyFill="1" applyAlignment="1" applyProtection="1">
      <alignment vertical="top" wrapText="1"/>
      <protection locked="0"/>
    </xf>
    <xf numFmtId="1" fontId="18" fillId="0" borderId="0" xfId="0" applyNumberFormat="1" applyFont="1" applyFill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10" fillId="0" borderId="56" xfId="0" applyFont="1" applyFill="1" applyBorder="1" applyAlignment="1" applyProtection="1">
      <alignment vertical="top" wrapText="1"/>
      <protection locked="0"/>
    </xf>
    <xf numFmtId="0" fontId="11" fillId="0" borderId="56" xfId="0" applyFont="1" applyFill="1" applyBorder="1" applyAlignment="1" applyProtection="1">
      <alignment vertical="top"/>
      <protection locked="0"/>
    </xf>
    <xf numFmtId="0" fontId="11" fillId="0" borderId="4" xfId="0" applyFont="1" applyFill="1" applyBorder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19" fillId="14" borderId="0" xfId="0" applyFont="1" applyFill="1" applyAlignment="1" applyProtection="1">
      <alignment vertical="top"/>
      <protection locked="0"/>
    </xf>
    <xf numFmtId="0" fontId="10" fillId="14" borderId="0" xfId="0" applyFont="1" applyFill="1" applyAlignment="1" applyProtection="1">
      <alignment vertical="top" wrapText="1"/>
      <protection locked="0"/>
    </xf>
    <xf numFmtId="0" fontId="19" fillId="0" borderId="0" xfId="0" applyFont="1" applyFill="1" applyAlignment="1" applyProtection="1">
      <alignment vertical="top" wrapText="1"/>
      <protection locked="0"/>
    </xf>
    <xf numFmtId="0" fontId="19" fillId="10" borderId="0" xfId="0" applyFont="1" applyFill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1" fontId="5" fillId="2" borderId="0" xfId="0" applyNumberFormat="1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</xf>
    <xf numFmtId="0" fontId="11" fillId="3" borderId="1" xfId="0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vertical="top" wrapText="1"/>
    </xf>
    <xf numFmtId="0" fontId="10" fillId="3" borderId="0" xfId="0" applyFont="1" applyFill="1" applyAlignment="1" applyProtection="1">
      <alignment vertical="top" wrapText="1"/>
    </xf>
    <xf numFmtId="0" fontId="10" fillId="3" borderId="5" xfId="0" applyFont="1" applyFill="1" applyBorder="1" applyAlignment="1" applyProtection="1">
      <alignment vertical="top" wrapText="1"/>
    </xf>
    <xf numFmtId="0" fontId="10" fillId="3" borderId="4" xfId="0" applyFont="1" applyFill="1" applyBorder="1" applyAlignment="1" applyProtection="1">
      <alignment vertical="top" wrapText="1"/>
    </xf>
    <xf numFmtId="0" fontId="10" fillId="3" borderId="56" xfId="0" applyFont="1" applyFill="1" applyBorder="1" applyAlignment="1" applyProtection="1">
      <alignment vertical="top" wrapText="1"/>
    </xf>
    <xf numFmtId="0" fontId="10" fillId="3" borderId="2" xfId="0" applyFont="1" applyFill="1" applyBorder="1" applyAlignment="1" applyProtection="1">
      <alignment vertical="top" wrapText="1"/>
    </xf>
    <xf numFmtId="0" fontId="20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right"/>
    </xf>
    <xf numFmtId="0" fontId="22" fillId="0" borderId="0" xfId="0" applyFont="1"/>
    <xf numFmtId="0" fontId="17" fillId="0" borderId="33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/>
    </xf>
    <xf numFmtId="0" fontId="17" fillId="13" borderId="39" xfId="0" applyFont="1" applyFill="1" applyBorder="1" applyAlignment="1" applyProtection="1">
      <alignment horizontal="center"/>
    </xf>
    <xf numFmtId="0" fontId="17" fillId="13" borderId="40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vertical="top"/>
      <protection locked="0"/>
    </xf>
    <xf numFmtId="14" fontId="11" fillId="0" borderId="0" xfId="0" applyNumberFormat="1" applyFont="1" applyFill="1" applyAlignment="1" applyProtection="1">
      <alignment vertical="top" wrapText="1"/>
      <protection locked="0"/>
    </xf>
    <xf numFmtId="0" fontId="11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1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vertical="top" wrapText="1"/>
      <protection locked="0"/>
    </xf>
    <xf numFmtId="0" fontId="25" fillId="0" borderId="0" xfId="0" applyFont="1" applyFill="1" applyAlignment="1" applyProtection="1">
      <alignment horizontal="center" vertical="top" wrapText="1"/>
      <protection locked="0"/>
    </xf>
    <xf numFmtId="0" fontId="25" fillId="0" borderId="0" xfId="0" applyFont="1" applyFill="1" applyAlignment="1" applyProtection="1">
      <alignment vertical="top" wrapText="1"/>
    </xf>
    <xf numFmtId="0" fontId="27" fillId="2" borderId="0" xfId="0" applyFont="1" applyFill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top" wrapText="1"/>
      <protection locked="0"/>
    </xf>
    <xf numFmtId="1" fontId="18" fillId="0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56" xfId="0" applyFont="1" applyFill="1" applyBorder="1" applyAlignment="1" applyProtection="1">
      <alignment vertical="top" wrapText="1"/>
    </xf>
    <xf numFmtId="0" fontId="6" fillId="0" borderId="0" xfId="0" applyFont="1" applyFill="1"/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3" borderId="57" xfId="0" applyFont="1" applyFill="1" applyBorder="1" applyAlignment="1" applyProtection="1">
      <alignment vertical="top" wrapText="1"/>
    </xf>
    <xf numFmtId="0" fontId="10" fillId="3" borderId="10" xfId="0" applyFont="1" applyFill="1" applyBorder="1" applyAlignment="1" applyProtection="1">
      <alignment vertical="top" wrapText="1"/>
    </xf>
    <xf numFmtId="0" fontId="18" fillId="0" borderId="0" xfId="0" applyFont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9" fillId="0" borderId="0" xfId="0" applyFont="1" applyFill="1" applyBorder="1" applyAlignment="1" applyProtection="1">
      <alignment vertical="top" wrapText="1"/>
      <protection locked="0"/>
    </xf>
    <xf numFmtId="14" fontId="28" fillId="0" borderId="0" xfId="0" applyNumberFormat="1" applyFont="1" applyFill="1" applyAlignment="1" applyProtection="1">
      <alignment vertical="top" wrapText="1"/>
      <protection locked="0"/>
    </xf>
    <xf numFmtId="0" fontId="28" fillId="0" borderId="6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18" fillId="0" borderId="1" xfId="0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1" fontId="1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0" xfId="0" applyFont="1" applyFill="1" applyAlignment="1" applyProtection="1">
      <alignment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2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1" fillId="0" borderId="4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vertical="top" wrapText="1"/>
    </xf>
    <xf numFmtId="0" fontId="10" fillId="0" borderId="4" xfId="0" applyFont="1" applyFill="1" applyBorder="1" applyAlignment="1" applyProtection="1">
      <alignment vertical="top" wrapText="1"/>
    </xf>
    <xf numFmtId="1" fontId="18" fillId="0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5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3" borderId="0" xfId="0" applyFont="1" applyFill="1" applyBorder="1" applyAlignment="1" applyProtection="1">
      <alignment horizontal="left" vertical="top"/>
    </xf>
    <xf numFmtId="0" fontId="30" fillId="0" borderId="1" xfId="0" applyFont="1" applyBorder="1" applyAlignment="1" applyProtection="1">
      <alignment horizontal="left" vertical="top" wrapText="1"/>
      <protection locked="0"/>
    </xf>
    <xf numFmtId="0" fontId="11" fillId="0" borderId="5" xfId="0" applyFont="1" applyFill="1" applyBorder="1" applyAlignment="1" applyProtection="1">
      <alignment horizontal="left" vertical="top" wrapText="1"/>
      <protection locked="0"/>
    </xf>
    <xf numFmtId="0" fontId="11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11" fillId="0" borderId="56" xfId="0" applyFont="1" applyFill="1" applyBorder="1" applyAlignment="1" applyProtection="1">
      <alignment vertical="top" wrapText="1"/>
      <protection locked="0"/>
    </xf>
    <xf numFmtId="0" fontId="11" fillId="3" borderId="0" xfId="0" applyFont="1" applyFill="1" applyBorder="1" applyAlignment="1" applyProtection="1">
      <alignment vertical="top" wrapText="1"/>
    </xf>
    <xf numFmtId="0" fontId="31" fillId="0" borderId="1" xfId="0" applyFont="1" applyFill="1" applyBorder="1" applyAlignment="1" applyProtection="1">
      <alignment vertical="top" wrapText="1"/>
      <protection locked="0"/>
    </xf>
    <xf numFmtId="0" fontId="11" fillId="0" borderId="5" xfId="0" applyFont="1" applyFill="1" applyBorder="1" applyAlignment="1" applyProtection="1">
      <alignment vertical="top" wrapText="1"/>
      <protection locked="0"/>
    </xf>
    <xf numFmtId="0" fontId="11" fillId="0" borderId="56" xfId="0" applyFont="1" applyFill="1" applyBorder="1" applyAlignment="1" applyProtection="1">
      <alignment horizontal="left" vertical="top" wrapText="1"/>
      <protection locked="0"/>
    </xf>
    <xf numFmtId="0" fontId="30" fillId="0" borderId="5" xfId="0" applyFont="1" applyBorder="1" applyAlignment="1" applyProtection="1">
      <alignment horizontal="left" vertical="top" wrapText="1"/>
      <protection locked="0"/>
    </xf>
    <xf numFmtId="0" fontId="30" fillId="0" borderId="56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center" vertical="top" wrapText="1"/>
      <protection locked="0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0" fontId="33" fillId="0" borderId="0" xfId="0" applyFont="1" applyFill="1" applyBorder="1" applyAlignment="1" applyProtection="1">
      <alignment vertical="top" wrapText="1"/>
      <protection locked="0"/>
    </xf>
    <xf numFmtId="0" fontId="33" fillId="0" borderId="0" xfId="0" applyFont="1" applyFill="1" applyBorder="1" applyAlignment="1" applyProtection="1">
      <alignment horizontal="right" vertical="top" wrapText="1"/>
      <protection locked="0"/>
    </xf>
    <xf numFmtId="14" fontId="29" fillId="0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1" fontId="2" fillId="0" borderId="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0" fillId="9" borderId="1" xfId="0" applyFont="1" applyFill="1" applyBorder="1" applyAlignment="1" applyProtection="1">
      <alignment horizontal="left" vertical="top" wrapText="1"/>
      <protection locked="0"/>
    </xf>
    <xf numFmtId="0" fontId="10" fillId="9" borderId="1" xfId="0" applyFont="1" applyFill="1" applyBorder="1" applyAlignment="1" applyProtection="1">
      <alignment horizontal="center" vertical="top" wrapText="1"/>
      <protection locked="0"/>
    </xf>
    <xf numFmtId="0" fontId="18" fillId="9" borderId="1" xfId="0" applyFont="1" applyFill="1" applyBorder="1" applyAlignment="1" applyProtection="1">
      <alignment horizontal="center" vertical="top" wrapText="1"/>
      <protection locked="0"/>
    </xf>
    <xf numFmtId="0" fontId="10" fillId="9" borderId="1" xfId="0" applyFont="1" applyFill="1" applyBorder="1" applyAlignment="1" applyProtection="1">
      <alignment vertical="top" wrapText="1"/>
      <protection locked="0"/>
    </xf>
    <xf numFmtId="0" fontId="10" fillId="9" borderId="5" xfId="0" applyFont="1" applyFill="1" applyBorder="1" applyAlignment="1" applyProtection="1">
      <alignment horizontal="left" vertical="top" wrapText="1"/>
      <protection locked="0"/>
    </xf>
    <xf numFmtId="0" fontId="6" fillId="9" borderId="0" xfId="0" applyFont="1" applyFill="1" applyAlignment="1" applyProtection="1">
      <alignment vertical="top" wrapText="1"/>
      <protection locked="0"/>
    </xf>
    <xf numFmtId="0" fontId="10" fillId="3" borderId="0" xfId="0" applyFont="1" applyFill="1" applyBorder="1" applyAlignment="1" applyProtection="1">
      <alignment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0" fontId="10" fillId="9" borderId="6" xfId="0" applyFont="1" applyFill="1" applyBorder="1" applyAlignment="1" applyProtection="1">
      <alignment horizontal="left" vertical="top" wrapText="1"/>
      <protection locked="0"/>
    </xf>
    <xf numFmtId="0" fontId="10" fillId="9" borderId="3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wrapText="1"/>
      <protection locked="0"/>
    </xf>
    <xf numFmtId="0" fontId="12" fillId="4" borderId="17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2" fillId="5" borderId="17" xfId="0" applyFont="1" applyFill="1" applyBorder="1" applyAlignment="1" applyProtection="1">
      <alignment horizontal="center" wrapText="1"/>
      <protection locked="0"/>
    </xf>
    <xf numFmtId="0" fontId="12" fillId="5" borderId="18" xfId="0" applyFont="1" applyFill="1" applyBorder="1" applyAlignment="1" applyProtection="1">
      <alignment horizontal="center" wrapText="1"/>
      <protection locked="0"/>
    </xf>
    <xf numFmtId="0" fontId="12" fillId="6" borderId="16" xfId="0" applyFont="1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center" vertical="center" wrapText="1"/>
      <protection locked="0"/>
    </xf>
    <xf numFmtId="0" fontId="12" fillId="6" borderId="18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11" borderId="27" xfId="0" applyFont="1" applyFill="1" applyBorder="1" applyAlignment="1" applyProtection="1">
      <alignment horizontal="center" vertical="center" wrapText="1"/>
      <protection locked="0"/>
    </xf>
    <xf numFmtId="0" fontId="12" fillId="11" borderId="30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 applyProtection="1">
      <alignment horizontal="center" vertical="center" wrapText="1"/>
      <protection locked="0"/>
    </xf>
    <xf numFmtId="0" fontId="12" fillId="0" borderId="23" xfId="0" applyFont="1" applyFill="1" applyBorder="1" applyAlignment="1" applyProtection="1">
      <alignment horizontal="center" vertical="center" wrapText="1"/>
      <protection locked="0"/>
    </xf>
    <xf numFmtId="0" fontId="12" fillId="0" borderId="24" xfId="0" applyFont="1" applyFill="1" applyBorder="1" applyAlignment="1" applyProtection="1">
      <alignment horizontal="center" vertical="center" wrapText="1"/>
      <protection locked="0"/>
    </xf>
    <xf numFmtId="0" fontId="12" fillId="5" borderId="10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25" xfId="0" applyFont="1" applyFill="1" applyBorder="1" applyAlignment="1" applyProtection="1">
      <alignment horizontal="center" vertical="center" wrapText="1"/>
      <protection locked="0"/>
    </xf>
    <xf numFmtId="0" fontId="12" fillId="6" borderId="20" xfId="0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7" borderId="1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2" fillId="7" borderId="15" xfId="0" applyFont="1" applyFill="1" applyBorder="1" applyAlignment="1" applyProtection="1">
      <alignment horizontal="center" vertical="center" wrapText="1"/>
      <protection locked="0"/>
    </xf>
    <xf numFmtId="0" fontId="12" fillId="7" borderId="20" xfId="0" applyFont="1" applyFill="1" applyBorder="1" applyAlignment="1" applyProtection="1">
      <alignment horizontal="center" vertical="center" wrapText="1"/>
      <protection locked="0"/>
    </xf>
    <xf numFmtId="0" fontId="12" fillId="7" borderId="9" xfId="0" applyFont="1" applyFill="1" applyBorder="1" applyAlignment="1" applyProtection="1">
      <alignment horizontal="center" vertical="center" wrapText="1"/>
      <protection locked="0"/>
    </xf>
    <xf numFmtId="0" fontId="12" fillId="7" borderId="21" xfId="0" applyFont="1" applyFill="1" applyBorder="1" applyAlignment="1" applyProtection="1">
      <alignment horizontal="center" vertical="center" wrapText="1"/>
      <protection locked="0"/>
    </xf>
    <xf numFmtId="0" fontId="12" fillId="8" borderId="20" xfId="0" applyFont="1" applyFill="1" applyBorder="1" applyAlignment="1" applyProtection="1">
      <alignment horizontal="center" vertical="center" wrapText="1"/>
      <protection locked="0"/>
    </xf>
    <xf numFmtId="0" fontId="12" fillId="8" borderId="9" xfId="0" applyFont="1" applyFill="1" applyBorder="1" applyAlignment="1" applyProtection="1">
      <alignment horizontal="center" vertical="center" wrapText="1"/>
      <protection locked="0"/>
    </xf>
    <xf numFmtId="0" fontId="12" fillId="8" borderId="21" xfId="0" applyFont="1" applyFill="1" applyBorder="1" applyAlignment="1" applyProtection="1">
      <alignment horizontal="center" vertical="center" wrapText="1"/>
      <protection locked="0"/>
    </xf>
    <xf numFmtId="0" fontId="12" fillId="9" borderId="20" xfId="0" applyFont="1" applyFill="1" applyBorder="1" applyAlignment="1" applyProtection="1">
      <alignment horizontal="center" vertical="center" wrapText="1"/>
      <protection locked="0"/>
    </xf>
    <xf numFmtId="0" fontId="12" fillId="9" borderId="9" xfId="0" applyFont="1" applyFill="1" applyBorder="1" applyAlignment="1" applyProtection="1">
      <alignment horizontal="center" vertical="center" wrapText="1"/>
      <protection locked="0"/>
    </xf>
    <xf numFmtId="0" fontId="12" fillId="9" borderId="21" xfId="0" applyFont="1" applyFill="1" applyBorder="1" applyAlignment="1" applyProtection="1">
      <alignment horizontal="center" vertical="center" wrapText="1"/>
      <protection locked="0"/>
    </xf>
    <xf numFmtId="0" fontId="12" fillId="5" borderId="26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2" fillId="1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horizontal="center" vertical="center" wrapText="1"/>
      <protection locked="0"/>
    </xf>
    <xf numFmtId="0" fontId="12" fillId="8" borderId="8" xfId="0" applyFont="1" applyFill="1" applyBorder="1" applyAlignment="1" applyProtection="1">
      <alignment horizontal="center" vertical="center" wrapText="1"/>
      <protection locked="0"/>
    </xf>
    <xf numFmtId="0" fontId="12" fillId="9" borderId="2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1\image11&#1072;.jpeg" TargetMode="External"/><Relationship Id="rId205" Type="http://schemas.openxmlformats.org/officeDocument/2006/relationships/image" Target="../media/image19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08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0.jpeg"/><Relationship Id="rId206" Type="http://schemas.openxmlformats.org/officeDocument/2006/relationships/image" Target="../media/image198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09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1\image8&#1072;.jpeg" TargetMode="External"/><Relationship Id="rId207" Type="http://schemas.openxmlformats.org/officeDocument/2006/relationships/image" Target="../media/image19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0.pn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1.jpeg"/><Relationship Id="rId208" Type="http://schemas.openxmlformats.org/officeDocument/2006/relationships/image" Target="../media/image200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file:///E:\&#1040;&#1085;&#1076;&#1088;&#1077;&#1081;\1.jpeg" TargetMode="External"/><Relationship Id="rId219" Type="http://schemas.openxmlformats.org/officeDocument/2006/relationships/image" Target="../media/image211.png"/><Relationship Id="rId3" Type="http://schemas.openxmlformats.org/officeDocument/2006/relationships/image" Target="../media/image3.jpeg"/><Relationship Id="rId214" Type="http://schemas.openxmlformats.org/officeDocument/2006/relationships/image" Target="../media/image20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1\image3&#1072;.jpeg" TargetMode="External"/><Relationship Id="rId209" Type="http://schemas.openxmlformats.org/officeDocument/2006/relationships/image" Target="../media/image201.jpeg"/><Relationship Id="rId190" Type="http://schemas.openxmlformats.org/officeDocument/2006/relationships/image" Target="../media/image189.jpeg"/><Relationship Id="rId204" Type="http://schemas.openxmlformats.org/officeDocument/2006/relationships/image" Target="../media/image196.jpeg"/><Relationship Id="rId220" Type="http://schemas.openxmlformats.org/officeDocument/2006/relationships/image" Target="../media/image212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02.jpeg"/><Relationship Id="rId215" Type="http://schemas.openxmlformats.org/officeDocument/2006/relationships/image" Target="../media/image207.pn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2.jpeg"/><Relationship Id="rId200" Type="http://schemas.openxmlformats.org/officeDocument/2006/relationships/image" Target="../media/image194.jpeg"/><Relationship Id="rId16" Type="http://schemas.openxmlformats.org/officeDocument/2006/relationships/image" Target="../media/image16.jpeg"/><Relationship Id="rId221" Type="http://schemas.openxmlformats.org/officeDocument/2006/relationships/image" Target="../media/image21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0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2\image18.jpeg" TargetMode="External"/><Relationship Id="rId201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2\image11.jpeg" TargetMode="External"/><Relationship Id="rId222" Type="http://schemas.openxmlformats.org/officeDocument/2006/relationships/image" Target="../media/image21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0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3.jpeg"/><Relationship Id="rId202" Type="http://schemas.openxmlformats.org/officeDocument/2006/relationships/image" Target="../media/image195.jpeg"/><Relationship Id="rId223" Type="http://schemas.openxmlformats.org/officeDocument/2006/relationships/image" Target="../media/image215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05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1\image17&#1072;.jpeg" TargetMode="External"/><Relationship Id="rId203" Type="http://schemas.openxmlformats.org/officeDocument/2006/relationships/image" Target="file:///E:\&#1040;&#1085;&#1076;&#1088;&#1077;&#1081;\&#1055;&#1080;&#1089;&#1100;&#1084;&#1072;%20&#1086;&#1090;&#1074;&#1077;&#1090;&#1099;\&#1053;&#1077;&#1080;&#1089;&#1087;&#1086;&#1083;&#1100;&#1079;&#1091;&#1077;&#1084;&#1099;&#1077;%20&#1086;&#1073;&#1098;&#1077;&#1082;&#1090;&#1099;\&#1060;&#1086;&#1090;&#1086;%202\image15.jpeg" TargetMode="External"/><Relationship Id="rId19" Type="http://schemas.openxmlformats.org/officeDocument/2006/relationships/image" Target="../media/image19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161925</xdr:colOff>
      <xdr:row>54</xdr:row>
      <xdr:rowOff>0</xdr:rowOff>
    </xdr:from>
    <xdr:to>
      <xdr:col>12</xdr:col>
      <xdr:colOff>866775</xdr:colOff>
      <xdr:row>54</xdr:row>
      <xdr:rowOff>0</xdr:rowOff>
    </xdr:to>
    <xdr:pic>
      <xdr:nvPicPr>
        <xdr:cNvPr id="8639" name="Рисунок 63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3583305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53456</xdr:colOff>
      <xdr:row>178</xdr:row>
      <xdr:rowOff>72910</xdr:rowOff>
    </xdr:from>
    <xdr:to>
      <xdr:col>12</xdr:col>
      <xdr:colOff>1456229</xdr:colOff>
      <xdr:row>178</xdr:row>
      <xdr:rowOff>676064</xdr:rowOff>
    </xdr:to>
    <xdr:pic>
      <xdr:nvPicPr>
        <xdr:cNvPr id="8641" name="Picture 971" descr="Школа Лещинск 074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04336" y="133951230"/>
          <a:ext cx="1402773" cy="603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86591</xdr:colOff>
      <xdr:row>179</xdr:row>
      <xdr:rowOff>37402</xdr:rowOff>
    </xdr:from>
    <xdr:to>
      <xdr:col>12</xdr:col>
      <xdr:colOff>1449917</xdr:colOff>
      <xdr:row>179</xdr:row>
      <xdr:rowOff>772584</xdr:rowOff>
    </xdr:to>
    <xdr:pic>
      <xdr:nvPicPr>
        <xdr:cNvPr id="8642" name="Рисунок 987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455727" y="130226834"/>
          <a:ext cx="1363326" cy="735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77931</xdr:colOff>
      <xdr:row>180</xdr:row>
      <xdr:rowOff>61876</xdr:rowOff>
    </xdr:from>
    <xdr:to>
      <xdr:col>12</xdr:col>
      <xdr:colOff>1439332</xdr:colOff>
      <xdr:row>180</xdr:row>
      <xdr:rowOff>900545</xdr:rowOff>
    </xdr:to>
    <xdr:pic>
      <xdr:nvPicPr>
        <xdr:cNvPr id="8643" name="Рисунок 986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47067" y="131108558"/>
          <a:ext cx="1361401" cy="838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60614</xdr:colOff>
      <xdr:row>131</xdr:row>
      <xdr:rowOff>54547</xdr:rowOff>
    </xdr:from>
    <xdr:to>
      <xdr:col>12</xdr:col>
      <xdr:colOff>1402773</xdr:colOff>
      <xdr:row>131</xdr:row>
      <xdr:rowOff>739207</xdr:rowOff>
    </xdr:to>
    <xdr:pic>
      <xdr:nvPicPr>
        <xdr:cNvPr id="8645" name="Рисунок 15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29750" y="85294638"/>
          <a:ext cx="1342159" cy="684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69274</xdr:colOff>
      <xdr:row>132</xdr:row>
      <xdr:rowOff>16271</xdr:rowOff>
    </xdr:from>
    <xdr:to>
      <xdr:col>12</xdr:col>
      <xdr:colOff>1411432</xdr:colOff>
      <xdr:row>132</xdr:row>
      <xdr:rowOff>649433</xdr:rowOff>
    </xdr:to>
    <xdr:pic>
      <xdr:nvPicPr>
        <xdr:cNvPr id="8646" name="Рисунок 26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438410" y="86027021"/>
          <a:ext cx="1342158" cy="633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1171575</xdr:colOff>
      <xdr:row>13</xdr:row>
      <xdr:rowOff>190500</xdr:rowOff>
    </xdr:from>
    <xdr:to>
      <xdr:col>12</xdr:col>
      <xdr:colOff>1476375</xdr:colOff>
      <xdr:row>13</xdr:row>
      <xdr:rowOff>190500</xdr:rowOff>
    </xdr:to>
    <xdr:pic>
      <xdr:nvPicPr>
        <xdr:cNvPr id="8657" name="Picture 25" descr="механические мастерские (3)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9172575" y="13087350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857250</xdr:colOff>
      <xdr:row>10</xdr:row>
      <xdr:rowOff>0</xdr:rowOff>
    </xdr:to>
    <xdr:pic>
      <xdr:nvPicPr>
        <xdr:cNvPr id="8660" name="Picture 1318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182100" y="1323975"/>
          <a:ext cx="857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60614</xdr:colOff>
      <xdr:row>92</xdr:row>
      <xdr:rowOff>133596</xdr:rowOff>
    </xdr:from>
    <xdr:to>
      <xdr:col>12</xdr:col>
      <xdr:colOff>1446069</xdr:colOff>
      <xdr:row>93</xdr:row>
      <xdr:rowOff>81642</xdr:rowOff>
    </xdr:to>
    <xdr:pic>
      <xdr:nvPicPr>
        <xdr:cNvPr id="8669" name="Рисунок 121" descr="Изображение 023.jpg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0900971" y="59106953"/>
          <a:ext cx="1385455" cy="755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69272</xdr:colOff>
      <xdr:row>93</xdr:row>
      <xdr:rowOff>41343</xdr:rowOff>
    </xdr:from>
    <xdr:to>
      <xdr:col>12</xdr:col>
      <xdr:colOff>1446069</xdr:colOff>
      <xdr:row>93</xdr:row>
      <xdr:rowOff>767058</xdr:rowOff>
    </xdr:to>
    <xdr:pic>
      <xdr:nvPicPr>
        <xdr:cNvPr id="8670" name="Рисунок 122" descr="Изображение 016.jpg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438408" y="59520638"/>
          <a:ext cx="1376797" cy="737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51955</xdr:colOff>
      <xdr:row>94</xdr:row>
      <xdr:rowOff>19804</xdr:rowOff>
    </xdr:from>
    <xdr:to>
      <xdr:col>12</xdr:col>
      <xdr:colOff>1450551</xdr:colOff>
      <xdr:row>94</xdr:row>
      <xdr:rowOff>745519</xdr:rowOff>
    </xdr:to>
    <xdr:pic>
      <xdr:nvPicPr>
        <xdr:cNvPr id="8671" name="Рисунок 123" descr="Изображение 005.jpg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421091" y="60373668"/>
          <a:ext cx="1398596" cy="729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60614</xdr:colOff>
      <xdr:row>108</xdr:row>
      <xdr:rowOff>34636</xdr:rowOff>
    </xdr:from>
    <xdr:to>
      <xdr:col>12</xdr:col>
      <xdr:colOff>1446069</xdr:colOff>
      <xdr:row>108</xdr:row>
      <xdr:rowOff>571500</xdr:rowOff>
    </xdr:to>
    <xdr:pic>
      <xdr:nvPicPr>
        <xdr:cNvPr id="8672" name="Рисунок 129" descr="Z:\Русак Светлана Станиславовна (22-1)\SAM_2766.JPG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9429750" y="70207909"/>
          <a:ext cx="1385455" cy="536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43297</xdr:colOff>
      <xdr:row>109</xdr:row>
      <xdr:rowOff>47533</xdr:rowOff>
    </xdr:from>
    <xdr:to>
      <xdr:col>12</xdr:col>
      <xdr:colOff>1437409</xdr:colOff>
      <xdr:row>109</xdr:row>
      <xdr:rowOff>658091</xdr:rowOff>
    </xdr:to>
    <xdr:pic>
      <xdr:nvPicPr>
        <xdr:cNvPr id="8674" name="Рисунок 137" descr="D:\Документы\гос.имущество\неиспользуемое имущество 2015\ объекты Кривичский сельсовет\Клуб д.Задубенье ОАО Прудники-Агро.jpg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9412433" y="70818283"/>
          <a:ext cx="1394112" cy="610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52716</xdr:colOff>
      <xdr:row>107</xdr:row>
      <xdr:rowOff>51956</xdr:rowOff>
    </xdr:from>
    <xdr:to>
      <xdr:col>12</xdr:col>
      <xdr:colOff>1449917</xdr:colOff>
      <xdr:row>107</xdr:row>
      <xdr:rowOff>580160</xdr:rowOff>
    </xdr:to>
    <xdr:pic>
      <xdr:nvPicPr>
        <xdr:cNvPr id="8675" name="Рисунок 139" descr="J:\DCIM\100PHOTO\SAM_2741.JPG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421852" y="69584456"/>
          <a:ext cx="1397201" cy="528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25978</xdr:colOff>
      <xdr:row>177</xdr:row>
      <xdr:rowOff>52418</xdr:rowOff>
    </xdr:from>
    <xdr:to>
      <xdr:col>12</xdr:col>
      <xdr:colOff>1428750</xdr:colOff>
      <xdr:row>177</xdr:row>
      <xdr:rowOff>710046</xdr:rowOff>
    </xdr:to>
    <xdr:pic>
      <xdr:nvPicPr>
        <xdr:cNvPr id="8677" name="Рисунок 144" descr="Школа Лещинск 080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9395114" y="128769804"/>
          <a:ext cx="1402772" cy="657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35918</xdr:colOff>
      <xdr:row>176</xdr:row>
      <xdr:rowOff>55686</xdr:rowOff>
    </xdr:from>
    <xdr:to>
      <xdr:col>12</xdr:col>
      <xdr:colOff>1411432</xdr:colOff>
      <xdr:row>176</xdr:row>
      <xdr:rowOff>602672</xdr:rowOff>
    </xdr:to>
    <xdr:pic>
      <xdr:nvPicPr>
        <xdr:cNvPr id="8686" name="Рисунок 164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9405054" y="128123641"/>
          <a:ext cx="1375514" cy="55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51956</xdr:colOff>
      <xdr:row>104</xdr:row>
      <xdr:rowOff>17318</xdr:rowOff>
    </xdr:from>
    <xdr:to>
      <xdr:col>12</xdr:col>
      <xdr:colOff>1506477</xdr:colOff>
      <xdr:row>104</xdr:row>
      <xdr:rowOff>649432</xdr:rowOff>
    </xdr:to>
    <xdr:pic>
      <xdr:nvPicPr>
        <xdr:cNvPr id="8693" name="Рисунок 121" descr="D:\Документы\гос.имущество\неиспользуемое имущество 2015\ОАО фото май 2015\IMG_6461оао прудники агро ферма осово62.JPG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421092" y="67540909"/>
          <a:ext cx="1411432" cy="632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43296</xdr:colOff>
      <xdr:row>103</xdr:row>
      <xdr:rowOff>51954</xdr:rowOff>
    </xdr:from>
    <xdr:to>
      <xdr:col>12</xdr:col>
      <xdr:colOff>1506476</xdr:colOff>
      <xdr:row>103</xdr:row>
      <xdr:rowOff>684068</xdr:rowOff>
    </xdr:to>
    <xdr:pic>
      <xdr:nvPicPr>
        <xdr:cNvPr id="8694" name="Рисунок 122" descr="D:\Документы\гос.имущество\неиспользуемое имущество 2015\ОАО фото май 2015\IMG_6456оао прудники агро ферма осово42.JPG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9412432" y="66848181"/>
          <a:ext cx="1420091" cy="632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60614</xdr:colOff>
      <xdr:row>105</xdr:row>
      <xdr:rowOff>25977</xdr:rowOff>
    </xdr:from>
    <xdr:to>
      <xdr:col>12</xdr:col>
      <xdr:colOff>1446070</xdr:colOff>
      <xdr:row>105</xdr:row>
      <xdr:rowOff>658091</xdr:rowOff>
    </xdr:to>
    <xdr:pic>
      <xdr:nvPicPr>
        <xdr:cNvPr id="8695" name="Рисунок 123" descr="D:\Документы\гос.имущество\неиспользуемое имущество 2015\ОАО фото май 2015\IMG_6472оао прудники агро ферма пашковщина 22.JPG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9429750" y="68233636"/>
          <a:ext cx="1385456" cy="632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37</xdr:row>
      <xdr:rowOff>0</xdr:rowOff>
    </xdr:from>
    <xdr:to>
      <xdr:col>12</xdr:col>
      <xdr:colOff>866775</xdr:colOff>
      <xdr:row>37</xdr:row>
      <xdr:rowOff>0</xdr:rowOff>
    </xdr:to>
    <xdr:pic>
      <xdr:nvPicPr>
        <xdr:cNvPr id="8705" name="Рисунок 63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275844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51955</xdr:colOff>
      <xdr:row>110</xdr:row>
      <xdr:rowOff>25978</xdr:rowOff>
    </xdr:from>
    <xdr:to>
      <xdr:col>12</xdr:col>
      <xdr:colOff>1454729</xdr:colOff>
      <xdr:row>110</xdr:row>
      <xdr:rowOff>588819</xdr:rowOff>
    </xdr:to>
    <xdr:pic>
      <xdr:nvPicPr>
        <xdr:cNvPr id="8711" name="Рисунок 136" descr="D:\Документы\гос.имущество\неиспользуемое имущество 2015\ объекты Кривичский сельсовет\Клуб д.Плашино ОАО Прудники-Агро.jpg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9421091" y="71498114"/>
          <a:ext cx="1402774" cy="562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40</xdr:row>
      <xdr:rowOff>0</xdr:rowOff>
    </xdr:from>
    <xdr:to>
      <xdr:col>12</xdr:col>
      <xdr:colOff>866775</xdr:colOff>
      <xdr:row>40</xdr:row>
      <xdr:rowOff>0</xdr:rowOff>
    </xdr:to>
    <xdr:pic>
      <xdr:nvPicPr>
        <xdr:cNvPr id="8728" name="Picture 99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313944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65</xdr:row>
      <xdr:rowOff>0</xdr:rowOff>
    </xdr:from>
    <xdr:to>
      <xdr:col>12</xdr:col>
      <xdr:colOff>866775</xdr:colOff>
      <xdr:row>65</xdr:row>
      <xdr:rowOff>0</xdr:rowOff>
    </xdr:to>
    <xdr:pic>
      <xdr:nvPicPr>
        <xdr:cNvPr id="8729" name="Рисунок 63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4211002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161925</xdr:colOff>
      <xdr:row>47</xdr:row>
      <xdr:rowOff>0</xdr:rowOff>
    </xdr:from>
    <xdr:to>
      <xdr:col>12</xdr:col>
      <xdr:colOff>866775</xdr:colOff>
      <xdr:row>47</xdr:row>
      <xdr:rowOff>0</xdr:rowOff>
    </xdr:to>
    <xdr:pic>
      <xdr:nvPicPr>
        <xdr:cNvPr id="8730" name="Рисунок 63" descr="D:\Документы\полочаны\DSC_0000030.jpg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44025" y="33832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72519</xdr:colOff>
      <xdr:row>95</xdr:row>
      <xdr:rowOff>69273</xdr:rowOff>
    </xdr:from>
    <xdr:to>
      <xdr:col>12</xdr:col>
      <xdr:colOff>1437408</xdr:colOff>
      <xdr:row>95</xdr:row>
      <xdr:rowOff>640773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1655" y="61150500"/>
          <a:ext cx="1364889" cy="588042"/>
        </a:xfrm>
        <a:prstGeom prst="rect">
          <a:avLst/>
        </a:prstGeom>
      </xdr:spPr>
    </xdr:pic>
    <xdr:clientData/>
  </xdr:twoCellAnchor>
  <xdr:twoCellAnchor editAs="oneCell">
    <xdr:from>
      <xdr:col>12</xdr:col>
      <xdr:colOff>60614</xdr:colOff>
      <xdr:row>96</xdr:row>
      <xdr:rowOff>42212</xdr:rowOff>
    </xdr:from>
    <xdr:to>
      <xdr:col>12</xdr:col>
      <xdr:colOff>1446069</xdr:colOff>
      <xdr:row>96</xdr:row>
      <xdr:rowOff>684067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7682" y="61720917"/>
          <a:ext cx="1385455" cy="641855"/>
        </a:xfrm>
        <a:prstGeom prst="rect">
          <a:avLst/>
        </a:prstGeom>
      </xdr:spPr>
    </xdr:pic>
    <xdr:clientData/>
  </xdr:twoCellAnchor>
  <xdr:twoCellAnchor editAs="oneCell">
    <xdr:from>
      <xdr:col>12</xdr:col>
      <xdr:colOff>77932</xdr:colOff>
      <xdr:row>98</xdr:row>
      <xdr:rowOff>51956</xdr:rowOff>
    </xdr:from>
    <xdr:to>
      <xdr:col>12</xdr:col>
      <xdr:colOff>1428750</xdr:colOff>
      <xdr:row>98</xdr:row>
      <xdr:rowOff>675409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7068" y="63315274"/>
          <a:ext cx="1350818" cy="623453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43297</xdr:colOff>
      <xdr:row>39</xdr:row>
      <xdr:rowOff>50179</xdr:rowOff>
    </xdr:from>
    <xdr:to>
      <xdr:col>12</xdr:col>
      <xdr:colOff>1428751</xdr:colOff>
      <xdr:row>39</xdr:row>
      <xdr:rowOff>603250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2433" y="27993065"/>
          <a:ext cx="1385454" cy="547299"/>
        </a:xfrm>
        <a:prstGeom prst="rect">
          <a:avLst/>
        </a:prstGeom>
      </xdr:spPr>
    </xdr:pic>
    <xdr:clientData/>
  </xdr:twoCellAnchor>
  <xdr:twoCellAnchor editAs="oneCell">
    <xdr:from>
      <xdr:col>12</xdr:col>
      <xdr:colOff>77932</xdr:colOff>
      <xdr:row>38</xdr:row>
      <xdr:rowOff>41659</xdr:rowOff>
    </xdr:from>
    <xdr:to>
      <xdr:col>12</xdr:col>
      <xdr:colOff>1446070</xdr:colOff>
      <xdr:row>38</xdr:row>
      <xdr:rowOff>677382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7068" y="26564454"/>
          <a:ext cx="1368138" cy="629951"/>
        </a:xfrm>
        <a:prstGeom prst="rect">
          <a:avLst/>
        </a:prstGeom>
      </xdr:spPr>
    </xdr:pic>
    <xdr:clientData/>
  </xdr:twoCellAnchor>
  <xdr:twoCellAnchor editAs="oneCell">
    <xdr:from>
      <xdr:col>12</xdr:col>
      <xdr:colOff>60615</xdr:colOff>
      <xdr:row>37</xdr:row>
      <xdr:rowOff>34637</xdr:rowOff>
    </xdr:from>
    <xdr:to>
      <xdr:col>12</xdr:col>
      <xdr:colOff>1454729</xdr:colOff>
      <xdr:row>37</xdr:row>
      <xdr:rowOff>699301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1" y="25223932"/>
          <a:ext cx="1394114" cy="6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69274</xdr:colOff>
      <xdr:row>35</xdr:row>
      <xdr:rowOff>60614</xdr:rowOff>
    </xdr:from>
    <xdr:to>
      <xdr:col>12</xdr:col>
      <xdr:colOff>1446069</xdr:colOff>
      <xdr:row>35</xdr:row>
      <xdr:rowOff>756805</xdr:rowOff>
    </xdr:to>
    <xdr:pic>
      <xdr:nvPicPr>
        <xdr:cNvPr id="137" name="Рисунок 98" descr="D:\Документы\гос.имущество\неиспользуемое имущество 2015\ объекты Кривичский сельсовет\Диспетчерская д.Парубки ОАО МядельАгросервис.jp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9438410" y="22998546"/>
          <a:ext cx="1376795" cy="692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60615</xdr:colOff>
      <xdr:row>36</xdr:row>
      <xdr:rowOff>43296</xdr:rowOff>
    </xdr:from>
    <xdr:to>
      <xdr:col>12</xdr:col>
      <xdr:colOff>1454729</xdr:colOff>
      <xdr:row>36</xdr:row>
      <xdr:rowOff>644236</xdr:rowOff>
    </xdr:to>
    <xdr:pic>
      <xdr:nvPicPr>
        <xdr:cNvPr id="138" name="Рисунок 101" descr="C:\Users\User\Desktop\Мядель сс неиспользуемое имущество\Мядель сельсовет неиспользуемое имущество\3 Школа аг. Лукьяновичи\P1080019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9429751" y="24505228"/>
          <a:ext cx="1394114" cy="59747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12</xdr:col>
      <xdr:colOff>43295</xdr:colOff>
      <xdr:row>64</xdr:row>
      <xdr:rowOff>51955</xdr:rowOff>
    </xdr:from>
    <xdr:to>
      <xdr:col>12</xdr:col>
      <xdr:colOff>1454728</xdr:colOff>
      <xdr:row>64</xdr:row>
      <xdr:rowOff>658090</xdr:rowOff>
    </xdr:to>
    <xdr:pic>
      <xdr:nvPicPr>
        <xdr:cNvPr id="143" name="Рисунок 930" descr="SAM_119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9412431" y="47772205"/>
          <a:ext cx="1411433" cy="606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61864</xdr:colOff>
      <xdr:row>122</xdr:row>
      <xdr:rowOff>70334</xdr:rowOff>
    </xdr:from>
    <xdr:to>
      <xdr:col>12</xdr:col>
      <xdr:colOff>1446070</xdr:colOff>
      <xdr:row>122</xdr:row>
      <xdr:rowOff>936243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1000" y="80773061"/>
          <a:ext cx="1384206" cy="85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43296</xdr:colOff>
      <xdr:row>70</xdr:row>
      <xdr:rowOff>34694</xdr:rowOff>
    </xdr:from>
    <xdr:to>
      <xdr:col>12</xdr:col>
      <xdr:colOff>1437409</xdr:colOff>
      <xdr:row>70</xdr:row>
      <xdr:rowOff>666749</xdr:rowOff>
    </xdr:to>
    <xdr:pic>
      <xdr:nvPicPr>
        <xdr:cNvPr id="153" name="Рисунок 152" descr="C:\Users\User\Pictures\2016-12-28 свирь\свирь 025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0364" y="52413535"/>
          <a:ext cx="1394113" cy="632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60615</xdr:colOff>
      <xdr:row>60</xdr:row>
      <xdr:rowOff>34637</xdr:rowOff>
    </xdr:from>
    <xdr:to>
      <xdr:col>12</xdr:col>
      <xdr:colOff>1506476</xdr:colOff>
      <xdr:row>60</xdr:row>
      <xdr:rowOff>606137</xdr:rowOff>
    </xdr:to>
    <xdr:pic>
      <xdr:nvPicPr>
        <xdr:cNvPr id="159" name="Рисунок 158" descr="C:\Users\User\Pictures\2016-12-28 свирь\свирь 045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1" y="45018614"/>
          <a:ext cx="1402772" cy="5801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62</xdr:row>
      <xdr:rowOff>17318</xdr:rowOff>
    </xdr:from>
    <xdr:to>
      <xdr:col>12</xdr:col>
      <xdr:colOff>1531542</xdr:colOff>
      <xdr:row>62</xdr:row>
      <xdr:rowOff>664699</xdr:rowOff>
    </xdr:to>
    <xdr:pic>
      <xdr:nvPicPr>
        <xdr:cNvPr id="160" name="Рисунок 159" descr="C:\Users\User\Pictures\2016-12-28 свирь\свирь 042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46369432"/>
          <a:ext cx="1440417" cy="647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59</xdr:row>
      <xdr:rowOff>34636</xdr:rowOff>
    </xdr:from>
    <xdr:to>
      <xdr:col>12</xdr:col>
      <xdr:colOff>1506477</xdr:colOff>
      <xdr:row>59</xdr:row>
      <xdr:rowOff>606136</xdr:rowOff>
    </xdr:to>
    <xdr:pic>
      <xdr:nvPicPr>
        <xdr:cNvPr id="161" name="Рисунок 160" descr="C:\Users\User\Pictures\2016-12-28 свирь\свирь 040.JP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4334545"/>
          <a:ext cx="1402774" cy="580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69273</xdr:colOff>
      <xdr:row>61</xdr:row>
      <xdr:rowOff>51956</xdr:rowOff>
    </xdr:from>
    <xdr:to>
      <xdr:col>12</xdr:col>
      <xdr:colOff>1510348</xdr:colOff>
      <xdr:row>61</xdr:row>
      <xdr:rowOff>666750</xdr:rowOff>
    </xdr:to>
    <xdr:pic>
      <xdr:nvPicPr>
        <xdr:cNvPr id="162" name="Рисунок 161" descr="C:\Users\User\Pictures\2016-12-28 свирь\свирь 041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45720001"/>
          <a:ext cx="1397986" cy="6147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69273</xdr:colOff>
      <xdr:row>65</xdr:row>
      <xdr:rowOff>25978</xdr:rowOff>
    </xdr:from>
    <xdr:to>
      <xdr:col>12</xdr:col>
      <xdr:colOff>1506475</xdr:colOff>
      <xdr:row>65</xdr:row>
      <xdr:rowOff>632114</xdr:rowOff>
    </xdr:to>
    <xdr:pic>
      <xdr:nvPicPr>
        <xdr:cNvPr id="164" name="Рисунок 163" descr="C:\Users\User\Pictures\2016-12-28 свирь\свирь 046.JP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48430296"/>
          <a:ext cx="1394113" cy="6061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47</xdr:row>
      <xdr:rowOff>56568</xdr:rowOff>
    </xdr:from>
    <xdr:to>
      <xdr:col>12</xdr:col>
      <xdr:colOff>1446069</xdr:colOff>
      <xdr:row>47</xdr:row>
      <xdr:rowOff>759690</xdr:rowOff>
    </xdr:to>
    <xdr:pic>
      <xdr:nvPicPr>
        <xdr:cNvPr id="199" name="Рисунок 198" descr="4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47364" y="33065985"/>
          <a:ext cx="1385455" cy="7054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55</xdr:row>
      <xdr:rowOff>43296</xdr:rowOff>
    </xdr:from>
    <xdr:to>
      <xdr:col>12</xdr:col>
      <xdr:colOff>1437409</xdr:colOff>
      <xdr:row>55</xdr:row>
      <xdr:rowOff>614796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41494364"/>
          <a:ext cx="1385454" cy="5801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0</xdr:colOff>
      <xdr:row>43</xdr:row>
      <xdr:rowOff>9071</xdr:rowOff>
    </xdr:from>
    <xdr:to>
      <xdr:col>12</xdr:col>
      <xdr:colOff>1446261</xdr:colOff>
      <xdr:row>43</xdr:row>
      <xdr:rowOff>584201</xdr:rowOff>
    </xdr:to>
    <xdr:pic>
      <xdr:nvPicPr>
        <xdr:cNvPr id="229" name="Рисунок 228" descr="26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0357" y="25236714"/>
          <a:ext cx="1446261" cy="57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69273</xdr:colOff>
      <xdr:row>44</xdr:row>
      <xdr:rowOff>51954</xdr:rowOff>
    </xdr:from>
    <xdr:to>
      <xdr:col>12</xdr:col>
      <xdr:colOff>1437409</xdr:colOff>
      <xdr:row>44</xdr:row>
      <xdr:rowOff>562841</xdr:rowOff>
    </xdr:to>
    <xdr:pic>
      <xdr:nvPicPr>
        <xdr:cNvPr id="241" name="Рисунок 240" descr="41-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33450068"/>
          <a:ext cx="1368136" cy="510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34636</xdr:colOff>
      <xdr:row>45</xdr:row>
      <xdr:rowOff>60614</xdr:rowOff>
    </xdr:from>
    <xdr:to>
      <xdr:col>12</xdr:col>
      <xdr:colOff>1489363</xdr:colOff>
      <xdr:row>45</xdr:row>
      <xdr:rowOff>562841</xdr:rowOff>
    </xdr:to>
    <xdr:pic>
      <xdr:nvPicPr>
        <xdr:cNvPr id="242" name="Рисунок 241" descr="42-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2" y="34064864"/>
          <a:ext cx="1454727" cy="502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60614</xdr:colOff>
      <xdr:row>56</xdr:row>
      <xdr:rowOff>51955</xdr:rowOff>
    </xdr:from>
    <xdr:to>
      <xdr:col>12</xdr:col>
      <xdr:colOff>1446069</xdr:colOff>
      <xdr:row>56</xdr:row>
      <xdr:rowOff>675409</xdr:rowOff>
    </xdr:to>
    <xdr:pic>
      <xdr:nvPicPr>
        <xdr:cNvPr id="276" name="Рисунок 17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2905796"/>
          <a:ext cx="1385455" cy="62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51955</xdr:colOff>
      <xdr:row>57</xdr:row>
      <xdr:rowOff>34636</xdr:rowOff>
    </xdr:from>
    <xdr:to>
      <xdr:col>12</xdr:col>
      <xdr:colOff>1463387</xdr:colOff>
      <xdr:row>57</xdr:row>
      <xdr:rowOff>658091</xdr:rowOff>
    </xdr:to>
    <xdr:pic>
      <xdr:nvPicPr>
        <xdr:cNvPr id="283" name="Рисунок 10" descr="02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43633159"/>
          <a:ext cx="1411432" cy="62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51955</xdr:colOff>
      <xdr:row>66</xdr:row>
      <xdr:rowOff>60613</xdr:rowOff>
    </xdr:from>
    <xdr:to>
      <xdr:col>12</xdr:col>
      <xdr:colOff>1454728</xdr:colOff>
      <xdr:row>66</xdr:row>
      <xdr:rowOff>658091</xdr:rowOff>
    </xdr:to>
    <xdr:pic>
      <xdr:nvPicPr>
        <xdr:cNvPr id="285" name="Рисунок 118" descr="SAM_1196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9499023" y="49703181"/>
          <a:ext cx="1402773" cy="597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60614</xdr:colOff>
      <xdr:row>54</xdr:row>
      <xdr:rowOff>60613</xdr:rowOff>
    </xdr:from>
    <xdr:to>
      <xdr:col>12</xdr:col>
      <xdr:colOff>1507067</xdr:colOff>
      <xdr:row>54</xdr:row>
      <xdr:rowOff>643467</xdr:rowOff>
    </xdr:to>
    <xdr:pic>
      <xdr:nvPicPr>
        <xdr:cNvPr id="287" name="Рисунок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19014" y="45983813"/>
          <a:ext cx="1446453" cy="582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51954</xdr:colOff>
      <xdr:row>67</xdr:row>
      <xdr:rowOff>51953</xdr:rowOff>
    </xdr:from>
    <xdr:to>
      <xdr:col>12</xdr:col>
      <xdr:colOff>1437409</xdr:colOff>
      <xdr:row>67</xdr:row>
      <xdr:rowOff>640773</xdr:rowOff>
    </xdr:to>
    <xdr:pic>
      <xdr:nvPicPr>
        <xdr:cNvPr id="288" name="Рисунок 11" descr="01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022" y="50378589"/>
          <a:ext cx="1385455" cy="588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43296</xdr:colOff>
      <xdr:row>68</xdr:row>
      <xdr:rowOff>29850</xdr:rowOff>
    </xdr:from>
    <xdr:to>
      <xdr:col>12</xdr:col>
      <xdr:colOff>1472045</xdr:colOff>
      <xdr:row>68</xdr:row>
      <xdr:rowOff>658089</xdr:rowOff>
    </xdr:to>
    <xdr:pic>
      <xdr:nvPicPr>
        <xdr:cNvPr id="290" name="Рисунок 12" descr="02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0364" y="51040555"/>
          <a:ext cx="1428749" cy="628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69274</xdr:colOff>
      <xdr:row>97</xdr:row>
      <xdr:rowOff>34636</xdr:rowOff>
    </xdr:from>
    <xdr:to>
      <xdr:col>12</xdr:col>
      <xdr:colOff>1437410</xdr:colOff>
      <xdr:row>97</xdr:row>
      <xdr:rowOff>684067</xdr:rowOff>
    </xdr:to>
    <xdr:pic>
      <xdr:nvPicPr>
        <xdr:cNvPr id="292" name="Рисунок 291" descr="IMGP024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6342" y="62440704"/>
          <a:ext cx="1368136" cy="649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69272</xdr:colOff>
      <xdr:row>48</xdr:row>
      <xdr:rowOff>60614</xdr:rowOff>
    </xdr:from>
    <xdr:to>
      <xdr:col>12</xdr:col>
      <xdr:colOff>1437409</xdr:colOff>
      <xdr:row>48</xdr:row>
      <xdr:rowOff>707324</xdr:rowOff>
    </xdr:to>
    <xdr:pic>
      <xdr:nvPicPr>
        <xdr:cNvPr id="250" name="Рисунок 249" descr="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8" y="36653932"/>
          <a:ext cx="1368137" cy="646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38403</xdr:colOff>
      <xdr:row>125</xdr:row>
      <xdr:rowOff>41002</xdr:rowOff>
    </xdr:from>
    <xdr:to>
      <xdr:col>12</xdr:col>
      <xdr:colOff>1420091</xdr:colOff>
      <xdr:row>125</xdr:row>
      <xdr:rowOff>826078</xdr:rowOff>
    </xdr:to>
    <xdr:pic>
      <xdr:nvPicPr>
        <xdr:cNvPr id="261" name="Рисунок 74" descr="D:\Документы\гос.имущество\неиспользуемое имущество 2015\Неисполь объектм занарочь\Неиспользуемые объекты фото\Неиспользуемые объекты фото\база отдыха д.Иванки 150.JPG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9407539" y="82181138"/>
          <a:ext cx="1381688" cy="781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31425</xdr:colOff>
      <xdr:row>49</xdr:row>
      <xdr:rowOff>35379</xdr:rowOff>
    </xdr:from>
    <xdr:to>
      <xdr:col>12</xdr:col>
      <xdr:colOff>1514172</xdr:colOff>
      <xdr:row>49</xdr:row>
      <xdr:rowOff>675409</xdr:rowOff>
    </xdr:to>
    <xdr:pic>
      <xdr:nvPicPr>
        <xdr:cNvPr id="269" name="Рисунок 268" descr="1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0561" y="37382038"/>
          <a:ext cx="1439658" cy="640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34636</xdr:colOff>
      <xdr:row>50</xdr:row>
      <xdr:rowOff>34636</xdr:rowOff>
    </xdr:from>
    <xdr:to>
      <xdr:col>12</xdr:col>
      <xdr:colOff>1506476</xdr:colOff>
      <xdr:row>50</xdr:row>
      <xdr:rowOff>662109</xdr:rowOff>
    </xdr:to>
    <xdr:pic>
      <xdr:nvPicPr>
        <xdr:cNvPr id="273" name="Рисунок 111" descr="SAM_116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9403772" y="38100000"/>
          <a:ext cx="1428751" cy="627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43296</xdr:colOff>
      <xdr:row>51</xdr:row>
      <xdr:rowOff>17318</xdr:rowOff>
    </xdr:from>
    <xdr:to>
      <xdr:col>12</xdr:col>
      <xdr:colOff>1437409</xdr:colOff>
      <xdr:row>51</xdr:row>
      <xdr:rowOff>649432</xdr:rowOff>
    </xdr:to>
    <xdr:pic>
      <xdr:nvPicPr>
        <xdr:cNvPr id="275" name="Рисунок 274" descr="C:\Users\User\Pictures\2016-12-28 свирь\свирь 056.JPG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2432" y="38801386"/>
          <a:ext cx="1394113" cy="632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52</xdr:row>
      <xdr:rowOff>43296</xdr:rowOff>
    </xdr:from>
    <xdr:to>
      <xdr:col>12</xdr:col>
      <xdr:colOff>1428750</xdr:colOff>
      <xdr:row>52</xdr:row>
      <xdr:rowOff>571500</xdr:rowOff>
    </xdr:to>
    <xdr:pic>
      <xdr:nvPicPr>
        <xdr:cNvPr id="277" name="Рисунок 276" descr="C:\Users\User\Pictures\2016-12-28 свирь\свирь 053.JPG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39494114"/>
          <a:ext cx="1376795" cy="5282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53</xdr:row>
      <xdr:rowOff>25976</xdr:rowOff>
    </xdr:from>
    <xdr:to>
      <xdr:col>12</xdr:col>
      <xdr:colOff>1454728</xdr:colOff>
      <xdr:row>53</xdr:row>
      <xdr:rowOff>640773</xdr:rowOff>
    </xdr:to>
    <xdr:pic>
      <xdr:nvPicPr>
        <xdr:cNvPr id="278" name="Рисунок 277" descr="C:\Users\User\Pictures\2016-12-28 свирь\свирь 051.JPG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40143544"/>
          <a:ext cx="1394114" cy="6147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50476</xdr:colOff>
      <xdr:row>181</xdr:row>
      <xdr:rowOff>52916</xdr:rowOff>
    </xdr:from>
    <xdr:to>
      <xdr:col>12</xdr:col>
      <xdr:colOff>1407584</xdr:colOff>
      <xdr:row>181</xdr:row>
      <xdr:rowOff>724061</xdr:rowOff>
    </xdr:to>
    <xdr:pic>
      <xdr:nvPicPr>
        <xdr:cNvPr id="331" name="Рисунок 130" descr="D:\Документы\гос.имущество\неиспользуемое имущество 2015\ООО НОМОС Групп д.Черевки общежитие .JPG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9416726" y="132609166"/>
          <a:ext cx="1357108" cy="6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69273</xdr:colOff>
      <xdr:row>182</xdr:row>
      <xdr:rowOff>38634</xdr:rowOff>
    </xdr:from>
    <xdr:to>
      <xdr:col>12</xdr:col>
      <xdr:colOff>1455323</xdr:colOff>
      <xdr:row>182</xdr:row>
      <xdr:rowOff>782399</xdr:rowOff>
    </xdr:to>
    <xdr:pic>
      <xdr:nvPicPr>
        <xdr:cNvPr id="332" name="Рисунок 17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9438409" y="132843111"/>
          <a:ext cx="1386050" cy="765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43296</xdr:colOff>
      <xdr:row>183</xdr:row>
      <xdr:rowOff>49067</xdr:rowOff>
    </xdr:from>
    <xdr:to>
      <xdr:col>12</xdr:col>
      <xdr:colOff>1523794</xdr:colOff>
      <xdr:row>183</xdr:row>
      <xdr:rowOff>740577</xdr:rowOff>
    </xdr:to>
    <xdr:pic>
      <xdr:nvPicPr>
        <xdr:cNvPr id="333" name="Рисунок 157" descr="D:\Документы\гос.имущество\неиспользуемое имущество 2015\Неисполь объектм занарочь\Неиспользуемые объекты фото\Неиспользуемые объекты фото\адм.здание УП Теплосети 138.JPG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9412432" y="133719453"/>
          <a:ext cx="1437409" cy="698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34637</xdr:colOff>
      <xdr:row>184</xdr:row>
      <xdr:rowOff>60612</xdr:rowOff>
    </xdr:from>
    <xdr:to>
      <xdr:col>12</xdr:col>
      <xdr:colOff>1514175</xdr:colOff>
      <xdr:row>184</xdr:row>
      <xdr:rowOff>752308</xdr:rowOff>
    </xdr:to>
    <xdr:pic>
      <xdr:nvPicPr>
        <xdr:cNvPr id="334" name="Рисунок 158" descr="D:\Документы\гос.имущество\неиспользуемое имущество 2015\Неисполь объектм занарочь\Неиспользуемые объекты фото\Неиспользуемые объекты фото\столовая УП Теплосети д.Сырмеж 137.JP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9403773" y="134527635"/>
          <a:ext cx="1436449" cy="7110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51954</xdr:colOff>
      <xdr:row>185</xdr:row>
      <xdr:rowOff>42332</xdr:rowOff>
    </xdr:from>
    <xdr:to>
      <xdr:col>12</xdr:col>
      <xdr:colOff>1506476</xdr:colOff>
      <xdr:row>185</xdr:row>
      <xdr:rowOff>697346</xdr:rowOff>
    </xdr:to>
    <xdr:pic>
      <xdr:nvPicPr>
        <xdr:cNvPr id="335" name="Рисунок 112" descr="D:\Документы\гос.имущество\неиспользуемое имущество 2015\Неисполь объектм занарочь\Неиспользуемые объекты фото\Неиспользуемые объекты фото\д.Буйки здание УП Теплосети 143.JP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9421090" y="135340627"/>
          <a:ext cx="1411433" cy="667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51955</xdr:colOff>
      <xdr:row>186</xdr:row>
      <xdr:rowOff>69272</xdr:rowOff>
    </xdr:from>
    <xdr:to>
      <xdr:col>12</xdr:col>
      <xdr:colOff>1452563</xdr:colOff>
      <xdr:row>186</xdr:row>
      <xdr:rowOff>715386</xdr:rowOff>
    </xdr:to>
    <xdr:pic>
      <xdr:nvPicPr>
        <xdr:cNvPr id="336" name="Рисунок 335" descr="сарай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136146886"/>
          <a:ext cx="1400608" cy="6588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51954</xdr:colOff>
      <xdr:row>187</xdr:row>
      <xdr:rowOff>25976</xdr:rowOff>
    </xdr:from>
    <xdr:to>
      <xdr:col>12</xdr:col>
      <xdr:colOff>1457853</xdr:colOff>
      <xdr:row>187</xdr:row>
      <xdr:rowOff>654049</xdr:rowOff>
    </xdr:to>
    <xdr:pic>
      <xdr:nvPicPr>
        <xdr:cNvPr id="337" name="Рисунок 336" descr="здание кирпичное-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0" y="136874249"/>
          <a:ext cx="1405899" cy="6407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60615</xdr:colOff>
      <xdr:row>188</xdr:row>
      <xdr:rowOff>51955</xdr:rowOff>
    </xdr:from>
    <xdr:to>
      <xdr:col>12</xdr:col>
      <xdr:colOff>1454729</xdr:colOff>
      <xdr:row>188</xdr:row>
      <xdr:rowOff>628983</xdr:rowOff>
    </xdr:to>
    <xdr:pic>
      <xdr:nvPicPr>
        <xdr:cNvPr id="338" name="Рисунок 337" descr="CIMG64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1" y="137592955"/>
          <a:ext cx="1394114" cy="5897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77932</xdr:colOff>
      <xdr:row>189</xdr:row>
      <xdr:rowOff>43294</xdr:rowOff>
    </xdr:from>
    <xdr:to>
      <xdr:col>12</xdr:col>
      <xdr:colOff>1446069</xdr:colOff>
      <xdr:row>189</xdr:row>
      <xdr:rowOff>636731</xdr:rowOff>
    </xdr:to>
    <xdr:pic>
      <xdr:nvPicPr>
        <xdr:cNvPr id="340" name="Рисунок 339" descr="здание животноводческой фермы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47068" y="138969749"/>
          <a:ext cx="1368137" cy="6061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190</xdr:row>
      <xdr:rowOff>51954</xdr:rowOff>
    </xdr:from>
    <xdr:to>
      <xdr:col>12</xdr:col>
      <xdr:colOff>1446069</xdr:colOff>
      <xdr:row>190</xdr:row>
      <xdr:rowOff>630237</xdr:rowOff>
    </xdr:to>
    <xdr:pic>
      <xdr:nvPicPr>
        <xdr:cNvPr id="341" name="Рисунок 340" descr="артскважина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139671136"/>
          <a:ext cx="1394114" cy="5909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191</xdr:row>
      <xdr:rowOff>25976</xdr:rowOff>
    </xdr:from>
    <xdr:to>
      <xdr:col>12</xdr:col>
      <xdr:colOff>1428751</xdr:colOff>
      <xdr:row>191</xdr:row>
      <xdr:rowOff>622609</xdr:rowOff>
    </xdr:to>
    <xdr:pic>
      <xdr:nvPicPr>
        <xdr:cNvPr id="342" name="Рисунок 341" descr="здание телятника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140337885"/>
          <a:ext cx="1376796" cy="609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51956</xdr:colOff>
      <xdr:row>192</xdr:row>
      <xdr:rowOff>685798</xdr:rowOff>
    </xdr:from>
    <xdr:to>
      <xdr:col>12</xdr:col>
      <xdr:colOff>1537002</xdr:colOff>
      <xdr:row>193</xdr:row>
      <xdr:rowOff>608059</xdr:rowOff>
    </xdr:to>
    <xdr:pic>
      <xdr:nvPicPr>
        <xdr:cNvPr id="343" name="Рисунок 342" descr="здание коровника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10356" y="165311665"/>
          <a:ext cx="1438178" cy="6234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39018</xdr:colOff>
      <xdr:row>221</xdr:row>
      <xdr:rowOff>74634</xdr:rowOff>
    </xdr:from>
    <xdr:to>
      <xdr:col>12</xdr:col>
      <xdr:colOff>1506476</xdr:colOff>
      <xdr:row>221</xdr:row>
      <xdr:rowOff>657678</xdr:rowOff>
    </xdr:to>
    <xdr:pic>
      <xdr:nvPicPr>
        <xdr:cNvPr id="345" name="Рисунок 146" descr="C:\Users\Светлана\Desktop\IMG_1026.JPG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10595893" y="153313741"/>
          <a:ext cx="1424369" cy="583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51955</xdr:colOff>
      <xdr:row>205</xdr:row>
      <xdr:rowOff>52100</xdr:rowOff>
    </xdr:from>
    <xdr:to>
      <xdr:col>12</xdr:col>
      <xdr:colOff>1428751</xdr:colOff>
      <xdr:row>205</xdr:row>
      <xdr:rowOff>835313</xdr:rowOff>
    </xdr:to>
    <xdr:pic>
      <xdr:nvPicPr>
        <xdr:cNvPr id="346" name="Picture 28" descr="IMG0015A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9421091" y="142442191"/>
          <a:ext cx="1376796" cy="8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60615</xdr:colOff>
      <xdr:row>222</xdr:row>
      <xdr:rowOff>60613</xdr:rowOff>
    </xdr:from>
    <xdr:to>
      <xdr:col>12</xdr:col>
      <xdr:colOff>1437409</xdr:colOff>
      <xdr:row>223</xdr:row>
      <xdr:rowOff>147154</xdr:rowOff>
    </xdr:to>
    <xdr:pic>
      <xdr:nvPicPr>
        <xdr:cNvPr id="347" name="Рисунок 156" descr="D:\Документы\гос.имущество\неиспользуемое имущество 2015\Мядель фото я 2015\IMG_0158.JP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9429751" y="156417818"/>
          <a:ext cx="1376794" cy="71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49067</xdr:colOff>
      <xdr:row>223</xdr:row>
      <xdr:rowOff>15014</xdr:rowOff>
    </xdr:from>
    <xdr:to>
      <xdr:col>12</xdr:col>
      <xdr:colOff>1437410</xdr:colOff>
      <xdr:row>223</xdr:row>
      <xdr:rowOff>969818</xdr:rowOff>
    </xdr:to>
    <xdr:pic>
      <xdr:nvPicPr>
        <xdr:cNvPr id="350" name="Рисунок 161" descr="IMG_378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9496135" y="157186173"/>
          <a:ext cx="1388343" cy="954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26460</xdr:colOff>
      <xdr:row>207</xdr:row>
      <xdr:rowOff>25399</xdr:rowOff>
    </xdr:from>
    <xdr:to>
      <xdr:col>12</xdr:col>
      <xdr:colOff>1441450</xdr:colOff>
      <xdr:row>207</xdr:row>
      <xdr:rowOff>902230</xdr:rowOff>
    </xdr:to>
    <xdr:pic>
      <xdr:nvPicPr>
        <xdr:cNvPr id="352" name="Рисунок 166" descr="Z:\Русак Светлана Станиславовна (22-1)\Ледаком\IMG_5985.jpg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9593793" y="163787666"/>
          <a:ext cx="1414990" cy="898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43296</xdr:colOff>
      <xdr:row>225</xdr:row>
      <xdr:rowOff>47407</xdr:rowOff>
    </xdr:from>
    <xdr:to>
      <xdr:col>12</xdr:col>
      <xdr:colOff>1437410</xdr:colOff>
      <xdr:row>225</xdr:row>
      <xdr:rowOff>766810</xdr:rowOff>
    </xdr:to>
    <xdr:pic>
      <xdr:nvPicPr>
        <xdr:cNvPr id="355" name="Рисунок 96" descr="IMG_20150825_142334301_HD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9490364" y="158924407"/>
          <a:ext cx="1394114" cy="719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34636</xdr:colOff>
      <xdr:row>230</xdr:row>
      <xdr:rowOff>38100</xdr:rowOff>
    </xdr:from>
    <xdr:to>
      <xdr:col>12</xdr:col>
      <xdr:colOff>1437409</xdr:colOff>
      <xdr:row>230</xdr:row>
      <xdr:rowOff>766618</xdr:rowOff>
    </xdr:to>
    <xdr:pic>
      <xdr:nvPicPr>
        <xdr:cNvPr id="356" name="Рисунок 10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9481704" y="163106100"/>
          <a:ext cx="1402773" cy="74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43296</xdr:colOff>
      <xdr:row>212</xdr:row>
      <xdr:rowOff>54176</xdr:rowOff>
    </xdr:from>
    <xdr:to>
      <xdr:col>12</xdr:col>
      <xdr:colOff>1446069</xdr:colOff>
      <xdr:row>212</xdr:row>
      <xdr:rowOff>772584</xdr:rowOff>
    </xdr:to>
    <xdr:pic>
      <xdr:nvPicPr>
        <xdr:cNvPr id="358" name="Picture 1024" descr="IMG_566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2432" y="149310926"/>
          <a:ext cx="1402773" cy="718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69274</xdr:colOff>
      <xdr:row>213</xdr:row>
      <xdr:rowOff>19050</xdr:rowOff>
    </xdr:from>
    <xdr:to>
      <xdr:col>12</xdr:col>
      <xdr:colOff>1446070</xdr:colOff>
      <xdr:row>213</xdr:row>
      <xdr:rowOff>580159</xdr:rowOff>
    </xdr:to>
    <xdr:pic>
      <xdr:nvPicPr>
        <xdr:cNvPr id="361" name="Picture 1030" descr="IMG_568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10" y="150107073"/>
          <a:ext cx="1376796" cy="56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51955</xdr:colOff>
      <xdr:row>214</xdr:row>
      <xdr:rowOff>43295</xdr:rowOff>
    </xdr:from>
    <xdr:to>
      <xdr:col>12</xdr:col>
      <xdr:colOff>1428750</xdr:colOff>
      <xdr:row>215</xdr:row>
      <xdr:rowOff>0</xdr:rowOff>
    </xdr:to>
    <xdr:pic>
      <xdr:nvPicPr>
        <xdr:cNvPr id="362" name="Picture 1029" descr="IMG_568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150798068"/>
          <a:ext cx="1376795" cy="623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60614</xdr:colOff>
      <xdr:row>215</xdr:row>
      <xdr:rowOff>60614</xdr:rowOff>
    </xdr:from>
    <xdr:to>
      <xdr:col>12</xdr:col>
      <xdr:colOff>1463388</xdr:colOff>
      <xdr:row>215</xdr:row>
      <xdr:rowOff>597478</xdr:rowOff>
    </xdr:to>
    <xdr:pic>
      <xdr:nvPicPr>
        <xdr:cNvPr id="363" name="Picture 1028" descr="IMG_567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151482137"/>
          <a:ext cx="1402774" cy="536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38100</xdr:colOff>
      <xdr:row>216</xdr:row>
      <xdr:rowOff>25977</xdr:rowOff>
    </xdr:from>
    <xdr:to>
      <xdr:col>12</xdr:col>
      <xdr:colOff>1480705</xdr:colOff>
      <xdr:row>217</xdr:row>
      <xdr:rowOff>9525</xdr:rowOff>
    </xdr:to>
    <xdr:pic>
      <xdr:nvPicPr>
        <xdr:cNvPr id="364" name="Picture 1027" descr="IMG_5674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7236" y="152114250"/>
          <a:ext cx="1442605" cy="650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28574</xdr:colOff>
      <xdr:row>217</xdr:row>
      <xdr:rowOff>47625</xdr:rowOff>
    </xdr:from>
    <xdr:to>
      <xdr:col>12</xdr:col>
      <xdr:colOff>1472045</xdr:colOff>
      <xdr:row>218</xdr:row>
      <xdr:rowOff>0</xdr:rowOff>
    </xdr:to>
    <xdr:pic>
      <xdr:nvPicPr>
        <xdr:cNvPr id="365" name="Picture 1026" descr="IMG_566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54710" y="146195761"/>
          <a:ext cx="1443471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38100</xdr:colOff>
      <xdr:row>218</xdr:row>
      <xdr:rowOff>38347</xdr:rowOff>
    </xdr:from>
    <xdr:to>
      <xdr:col>12</xdr:col>
      <xdr:colOff>1420092</xdr:colOff>
      <xdr:row>218</xdr:row>
      <xdr:rowOff>657472</xdr:rowOff>
    </xdr:to>
    <xdr:pic>
      <xdr:nvPicPr>
        <xdr:cNvPr id="366" name="Picture 1025" descr="IMG_566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4975" y="154161918"/>
          <a:ext cx="1381992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60614</xdr:colOff>
      <xdr:row>220</xdr:row>
      <xdr:rowOff>52916</xdr:rowOff>
    </xdr:from>
    <xdr:to>
      <xdr:col>12</xdr:col>
      <xdr:colOff>1454728</xdr:colOff>
      <xdr:row>221</xdr:row>
      <xdr:rowOff>0</xdr:rowOff>
    </xdr:to>
    <xdr:pic>
      <xdr:nvPicPr>
        <xdr:cNvPr id="367" name="Picture 1024" descr="IMG_566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154929416"/>
          <a:ext cx="1394114" cy="613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75409</xdr:colOff>
      <xdr:row>208</xdr:row>
      <xdr:rowOff>47628</xdr:rowOff>
    </xdr:from>
    <xdr:to>
      <xdr:col>12</xdr:col>
      <xdr:colOff>1420815</xdr:colOff>
      <xdr:row>208</xdr:row>
      <xdr:rowOff>677866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1659" y="151251711"/>
          <a:ext cx="1345406" cy="642938"/>
        </a:xfrm>
        <a:prstGeom prst="rect">
          <a:avLst/>
        </a:prstGeom>
      </xdr:spPr>
    </xdr:pic>
    <xdr:clientData/>
  </xdr:twoCellAnchor>
  <xdr:twoCellAnchor editAs="oneCell">
    <xdr:from>
      <xdr:col>12</xdr:col>
      <xdr:colOff>78154</xdr:colOff>
      <xdr:row>206</xdr:row>
      <xdr:rowOff>78154</xdr:rowOff>
    </xdr:from>
    <xdr:to>
      <xdr:col>12</xdr:col>
      <xdr:colOff>1418167</xdr:colOff>
      <xdr:row>206</xdr:row>
      <xdr:rowOff>814146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4404" y="149324321"/>
          <a:ext cx="1340013" cy="757929"/>
        </a:xfrm>
        <a:prstGeom prst="rect">
          <a:avLst/>
        </a:prstGeom>
      </xdr:spPr>
    </xdr:pic>
    <xdr:clientData/>
  </xdr:twoCellAnchor>
  <xdr:twoCellAnchor>
    <xdr:from>
      <xdr:col>12</xdr:col>
      <xdr:colOff>25976</xdr:colOff>
      <xdr:row>227</xdr:row>
      <xdr:rowOff>95250</xdr:rowOff>
    </xdr:from>
    <xdr:to>
      <xdr:col>12</xdr:col>
      <xdr:colOff>1454727</xdr:colOff>
      <xdr:row>227</xdr:row>
      <xdr:rowOff>908240</xdr:rowOff>
    </xdr:to>
    <xdr:pic>
      <xdr:nvPicPr>
        <xdr:cNvPr id="374" name="Рисунок 373" descr="Мяд 120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3044" y="160461614"/>
          <a:ext cx="1428751" cy="81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34637</xdr:colOff>
      <xdr:row>228</xdr:row>
      <xdr:rowOff>60613</xdr:rowOff>
    </xdr:from>
    <xdr:to>
      <xdr:col>12</xdr:col>
      <xdr:colOff>1437409</xdr:colOff>
      <xdr:row>228</xdr:row>
      <xdr:rowOff>867833</xdr:rowOff>
    </xdr:to>
    <xdr:pic>
      <xdr:nvPicPr>
        <xdr:cNvPr id="375" name="Рисунок 374" descr="Мяд 127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1705" y="161396795"/>
          <a:ext cx="1402772" cy="80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69273</xdr:colOff>
      <xdr:row>118</xdr:row>
      <xdr:rowOff>25977</xdr:rowOff>
    </xdr:from>
    <xdr:to>
      <xdr:col>12</xdr:col>
      <xdr:colOff>1428750</xdr:colOff>
      <xdr:row>118</xdr:row>
      <xdr:rowOff>716396</xdr:rowOff>
    </xdr:to>
    <xdr:pic>
      <xdr:nvPicPr>
        <xdr:cNvPr id="223" name="Рисунок 222" descr="CIMG627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77611432"/>
          <a:ext cx="1359477" cy="6927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60613</xdr:colOff>
      <xdr:row>119</xdr:row>
      <xdr:rowOff>34637</xdr:rowOff>
    </xdr:from>
    <xdr:to>
      <xdr:col>12</xdr:col>
      <xdr:colOff>1454728</xdr:colOff>
      <xdr:row>119</xdr:row>
      <xdr:rowOff>721592</xdr:rowOff>
    </xdr:to>
    <xdr:pic>
      <xdr:nvPicPr>
        <xdr:cNvPr id="224" name="Рисунок 223" descr="CIMG6269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49" y="78399410"/>
          <a:ext cx="1394115" cy="6892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43296</xdr:colOff>
      <xdr:row>120</xdr:row>
      <xdr:rowOff>43294</xdr:rowOff>
    </xdr:from>
    <xdr:to>
      <xdr:col>12</xdr:col>
      <xdr:colOff>1457325</xdr:colOff>
      <xdr:row>120</xdr:row>
      <xdr:rowOff>753340</xdr:rowOff>
    </xdr:to>
    <xdr:pic>
      <xdr:nvPicPr>
        <xdr:cNvPr id="225" name="Рисунок 224" descr="CIMG6278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2432" y="79187385"/>
          <a:ext cx="1414029" cy="7187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121</xdr:row>
      <xdr:rowOff>52095</xdr:rowOff>
    </xdr:from>
    <xdr:to>
      <xdr:col>12</xdr:col>
      <xdr:colOff>1437409</xdr:colOff>
      <xdr:row>121</xdr:row>
      <xdr:rowOff>742374</xdr:rowOff>
    </xdr:to>
    <xdr:pic>
      <xdr:nvPicPr>
        <xdr:cNvPr id="230" name="Рисунок 229" descr="CIMG630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79975504"/>
          <a:ext cx="1376795" cy="692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60615</xdr:colOff>
      <xdr:row>113</xdr:row>
      <xdr:rowOff>60614</xdr:rowOff>
    </xdr:from>
    <xdr:to>
      <xdr:col>12</xdr:col>
      <xdr:colOff>1454729</xdr:colOff>
      <xdr:row>113</xdr:row>
      <xdr:rowOff>718705</xdr:rowOff>
    </xdr:to>
    <xdr:pic>
      <xdr:nvPicPr>
        <xdr:cNvPr id="235" name="Рисунок 234" descr="C:\Documents and Settings\All Users\Документы\Мядель (Кривичский с с)\DSC03142.JP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1" y="73784114"/>
          <a:ext cx="1394114" cy="675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114</xdr:row>
      <xdr:rowOff>51955</xdr:rowOff>
    </xdr:from>
    <xdr:to>
      <xdr:col>12</xdr:col>
      <xdr:colOff>1437409</xdr:colOff>
      <xdr:row>114</xdr:row>
      <xdr:rowOff>710046</xdr:rowOff>
    </xdr:to>
    <xdr:pic>
      <xdr:nvPicPr>
        <xdr:cNvPr id="236" name="Рисунок 235" descr="C:\Documents and Settings\All Users\Документы\Мядель (Кривичский с с)\DSC03144.JPG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74554773"/>
          <a:ext cx="1385454" cy="662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115</xdr:row>
      <xdr:rowOff>60613</xdr:rowOff>
    </xdr:from>
    <xdr:to>
      <xdr:col>12</xdr:col>
      <xdr:colOff>1446067</xdr:colOff>
      <xdr:row>115</xdr:row>
      <xdr:rowOff>714374</xdr:rowOff>
    </xdr:to>
    <xdr:pic>
      <xdr:nvPicPr>
        <xdr:cNvPr id="237" name="Рисунок 236" descr="C:\Documents and Settings\All Users\Документы\Мядель (Кривичский с с)\DSC03147.JP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7682" y="75212863"/>
          <a:ext cx="1385453" cy="6537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34637</xdr:colOff>
      <xdr:row>116</xdr:row>
      <xdr:rowOff>51954</xdr:rowOff>
    </xdr:from>
    <xdr:to>
      <xdr:col>12</xdr:col>
      <xdr:colOff>1437409</xdr:colOff>
      <xdr:row>116</xdr:row>
      <xdr:rowOff>710045</xdr:rowOff>
    </xdr:to>
    <xdr:pic>
      <xdr:nvPicPr>
        <xdr:cNvPr id="238" name="Рисунок 237" descr="C:\Documents and Settings\All Users\Документы\Мядель (Кривичский с с)\DSC03149.JPG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3" y="76113409"/>
          <a:ext cx="1402772" cy="6754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52916</xdr:colOff>
      <xdr:row>233</xdr:row>
      <xdr:rowOff>43295</xdr:rowOff>
    </xdr:from>
    <xdr:to>
      <xdr:col>12</xdr:col>
      <xdr:colOff>1420091</xdr:colOff>
      <xdr:row>233</xdr:row>
      <xdr:rowOff>611331</xdr:rowOff>
    </xdr:to>
    <xdr:pic>
      <xdr:nvPicPr>
        <xdr:cNvPr id="240" name="Рисунок 239" descr="C:\Documents and Settings\All Users\Документы\Мядель (Кривичский с с)\DSC03159.JPG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984" y="165483886"/>
          <a:ext cx="136717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52916</xdr:colOff>
      <xdr:row>229</xdr:row>
      <xdr:rowOff>60615</xdr:rowOff>
    </xdr:from>
    <xdr:to>
      <xdr:col>12</xdr:col>
      <xdr:colOff>1402774</xdr:colOff>
      <xdr:row>229</xdr:row>
      <xdr:rowOff>680027</xdr:rowOff>
    </xdr:to>
    <xdr:pic>
      <xdr:nvPicPr>
        <xdr:cNvPr id="246" name="Рисунок 245" descr="Мяд 12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984" y="162375274"/>
          <a:ext cx="1349858" cy="6321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34016</xdr:colOff>
      <xdr:row>219</xdr:row>
      <xdr:rowOff>45356</xdr:rowOff>
    </xdr:from>
    <xdr:to>
      <xdr:col>12</xdr:col>
      <xdr:colOff>1505857</xdr:colOff>
      <xdr:row>220</xdr:row>
      <xdr:rowOff>45355</xdr:rowOff>
    </xdr:to>
    <xdr:pic>
      <xdr:nvPicPr>
        <xdr:cNvPr id="252" name="Рисунок 251" descr="CIMG63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0891" y="154837945"/>
          <a:ext cx="1428752" cy="793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31749</xdr:colOff>
      <xdr:row>226</xdr:row>
      <xdr:rowOff>31749</xdr:rowOff>
    </xdr:from>
    <xdr:to>
      <xdr:col>12</xdr:col>
      <xdr:colOff>1450974</xdr:colOff>
      <xdr:row>226</xdr:row>
      <xdr:rowOff>619415</xdr:rowOff>
    </xdr:to>
    <xdr:pic>
      <xdr:nvPicPr>
        <xdr:cNvPr id="264" name="Рисунок 263" descr="CIMG633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8817" y="159887226"/>
          <a:ext cx="1419225" cy="6003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232</xdr:row>
      <xdr:rowOff>17318</xdr:rowOff>
    </xdr:from>
    <xdr:to>
      <xdr:col>12</xdr:col>
      <xdr:colOff>1506476</xdr:colOff>
      <xdr:row>232</xdr:row>
      <xdr:rowOff>643468</xdr:rowOff>
    </xdr:to>
    <xdr:pic>
      <xdr:nvPicPr>
        <xdr:cNvPr id="272" name="Рисунок 271" descr="1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023" y="164782500"/>
          <a:ext cx="1411432" cy="638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51954</xdr:colOff>
      <xdr:row>69</xdr:row>
      <xdr:rowOff>34636</xdr:rowOff>
    </xdr:from>
    <xdr:to>
      <xdr:col>12</xdr:col>
      <xdr:colOff>1454727</xdr:colOff>
      <xdr:row>69</xdr:row>
      <xdr:rowOff>649432</xdr:rowOff>
    </xdr:to>
    <xdr:pic>
      <xdr:nvPicPr>
        <xdr:cNvPr id="305" name="Рисунок 304" descr="\\Kovalevich\Shared  Docs\ОБЩАЯ ПАПКА\МОНИТОРИНГ\Выезды\Мядельский\Свирский\Мядель 02 08 17\033.jpg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0" y="51859295"/>
          <a:ext cx="1402773" cy="614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86591</xdr:colOff>
      <xdr:row>224</xdr:row>
      <xdr:rowOff>31749</xdr:rowOff>
    </xdr:from>
    <xdr:to>
      <xdr:col>12</xdr:col>
      <xdr:colOff>1454727</xdr:colOff>
      <xdr:row>224</xdr:row>
      <xdr:rowOff>643465</xdr:rowOff>
    </xdr:to>
    <xdr:pic>
      <xdr:nvPicPr>
        <xdr:cNvPr id="306" name="Рисунок 305" descr="IMGP022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33659" y="158224681"/>
          <a:ext cx="1368136" cy="624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31750</xdr:colOff>
      <xdr:row>192</xdr:row>
      <xdr:rowOff>31749</xdr:rowOff>
    </xdr:from>
    <xdr:to>
      <xdr:col>12</xdr:col>
      <xdr:colOff>1428750</xdr:colOff>
      <xdr:row>192</xdr:row>
      <xdr:rowOff>621506</xdr:rowOff>
    </xdr:to>
    <xdr:pic>
      <xdr:nvPicPr>
        <xdr:cNvPr id="270" name="Рисунок 159" descr="D:\Документы\гос.имущество\неиспользуемое имущество 2015\Неисполь объектм занарочь\Неиспользуемые объекты фото\Неиспользуемые объекты фото\Здание УП теплосети д.Островляные 148.JPG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9398000" y="146875499"/>
          <a:ext cx="1397000" cy="602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121</xdr:row>
      <xdr:rowOff>0</xdr:rowOff>
    </xdr:from>
    <xdr:to>
      <xdr:col>12</xdr:col>
      <xdr:colOff>1547584</xdr:colOff>
      <xdr:row>121</xdr:row>
      <xdr:rowOff>732271</xdr:rowOff>
    </xdr:to>
    <xdr:sp macro="" textlink="">
      <xdr:nvSpPr>
        <xdr:cNvPr id="1026" name="AutoShape 2" descr="C:\Users\user5\AppData\Local\Temp\4\ksohtml\clip_image226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95564325"/>
          <a:ext cx="15049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43296</xdr:colOff>
      <xdr:row>33</xdr:row>
      <xdr:rowOff>60614</xdr:rowOff>
    </xdr:from>
    <xdr:to>
      <xdr:col>12</xdr:col>
      <xdr:colOff>1446069</xdr:colOff>
      <xdr:row>33</xdr:row>
      <xdr:rowOff>770659</xdr:rowOff>
    </xdr:to>
    <xdr:pic>
      <xdr:nvPicPr>
        <xdr:cNvPr id="213" name="Рисунок 142" descr="C:\Users\Светлана\Desktop\столовая дягили.jp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9412432" y="22158614"/>
          <a:ext cx="1402773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25978</xdr:colOff>
      <xdr:row>135</xdr:row>
      <xdr:rowOff>35007</xdr:rowOff>
    </xdr:from>
    <xdr:to>
      <xdr:col>12</xdr:col>
      <xdr:colOff>1437409</xdr:colOff>
      <xdr:row>135</xdr:row>
      <xdr:rowOff>804334</xdr:rowOff>
    </xdr:to>
    <xdr:pic>
      <xdr:nvPicPr>
        <xdr:cNvPr id="210" name="Рисунок 209" descr="Ст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5114" y="93457939"/>
          <a:ext cx="1411431" cy="769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34637</xdr:colOff>
      <xdr:row>136</xdr:row>
      <xdr:rowOff>10583</xdr:rowOff>
    </xdr:from>
    <xdr:to>
      <xdr:col>12</xdr:col>
      <xdr:colOff>1437409</xdr:colOff>
      <xdr:row>136</xdr:row>
      <xdr:rowOff>713968</xdr:rowOff>
    </xdr:to>
    <xdr:pic>
      <xdr:nvPicPr>
        <xdr:cNvPr id="215" name="Рисунок 214" descr="IMG_20211111_15354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3" y="95087401"/>
          <a:ext cx="1402772" cy="70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69273</xdr:colOff>
      <xdr:row>137</xdr:row>
      <xdr:rowOff>63500</xdr:rowOff>
    </xdr:from>
    <xdr:to>
      <xdr:col>12</xdr:col>
      <xdr:colOff>1454728</xdr:colOff>
      <xdr:row>137</xdr:row>
      <xdr:rowOff>730250</xdr:rowOff>
    </xdr:to>
    <xdr:pic>
      <xdr:nvPicPr>
        <xdr:cNvPr id="219" name="Рисунок 218" descr="Княгинин склад 1391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38409" y="95928295"/>
          <a:ext cx="138545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34637</xdr:colOff>
      <xdr:row>138</xdr:row>
      <xdr:rowOff>42332</xdr:rowOff>
    </xdr:from>
    <xdr:to>
      <xdr:col>12</xdr:col>
      <xdr:colOff>1436794</xdr:colOff>
      <xdr:row>138</xdr:row>
      <xdr:rowOff>931332</xdr:rowOff>
    </xdr:to>
    <xdr:pic>
      <xdr:nvPicPr>
        <xdr:cNvPr id="221" name="Рисунок 220" descr="Княгинин склад № 1390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3" y="96738400"/>
          <a:ext cx="1402157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42332</xdr:colOff>
      <xdr:row>139</xdr:row>
      <xdr:rowOff>21167</xdr:rowOff>
    </xdr:from>
    <xdr:to>
      <xdr:col>12</xdr:col>
      <xdr:colOff>1418165</xdr:colOff>
      <xdr:row>139</xdr:row>
      <xdr:rowOff>899351</xdr:rowOff>
    </xdr:to>
    <xdr:pic>
      <xdr:nvPicPr>
        <xdr:cNvPr id="231" name="Рисунок 230" descr="-5213045310782290429_12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8582" y="104849084"/>
          <a:ext cx="1375833" cy="87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34638</xdr:colOff>
      <xdr:row>140</xdr:row>
      <xdr:rowOff>69273</xdr:rowOff>
    </xdr:from>
    <xdr:to>
      <xdr:col>12</xdr:col>
      <xdr:colOff>1446070</xdr:colOff>
      <xdr:row>140</xdr:row>
      <xdr:rowOff>825501</xdr:rowOff>
    </xdr:to>
    <xdr:pic>
      <xdr:nvPicPr>
        <xdr:cNvPr id="239" name="Рисунок 238" descr="Овощехранилище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4" y="100350205"/>
          <a:ext cx="1411432" cy="756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31750</xdr:colOff>
      <xdr:row>141</xdr:row>
      <xdr:rowOff>43389</xdr:rowOff>
    </xdr:from>
    <xdr:to>
      <xdr:col>12</xdr:col>
      <xdr:colOff>1450125</xdr:colOff>
      <xdr:row>141</xdr:row>
      <xdr:rowOff>751414</xdr:rowOff>
    </xdr:to>
    <xdr:pic>
      <xdr:nvPicPr>
        <xdr:cNvPr id="243" name="Рисунок 242" descr="Фруктохранилище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8000" y="106712806"/>
          <a:ext cx="1418375" cy="70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60614</xdr:colOff>
      <xdr:row>142</xdr:row>
      <xdr:rowOff>34637</xdr:rowOff>
    </xdr:from>
    <xdr:to>
      <xdr:col>12</xdr:col>
      <xdr:colOff>1402773</xdr:colOff>
      <xdr:row>142</xdr:row>
      <xdr:rowOff>754303</xdr:rowOff>
    </xdr:to>
    <xdr:pic>
      <xdr:nvPicPr>
        <xdr:cNvPr id="247" name="Рисунок 246" descr="Квас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102194592"/>
          <a:ext cx="1342159" cy="71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34637</xdr:colOff>
      <xdr:row>143</xdr:row>
      <xdr:rowOff>52915</xdr:rowOff>
    </xdr:from>
    <xdr:to>
      <xdr:col>12</xdr:col>
      <xdr:colOff>1449917</xdr:colOff>
      <xdr:row>143</xdr:row>
      <xdr:rowOff>775838</xdr:rowOff>
    </xdr:to>
    <xdr:pic>
      <xdr:nvPicPr>
        <xdr:cNvPr id="248" name="Рисунок 247" descr="Здание заг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3773" y="103000847"/>
          <a:ext cx="1415280" cy="722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62930</xdr:colOff>
      <xdr:row>143</xdr:row>
      <xdr:rowOff>851879</xdr:rowOff>
    </xdr:from>
    <xdr:to>
      <xdr:col>12</xdr:col>
      <xdr:colOff>1417363</xdr:colOff>
      <xdr:row>144</xdr:row>
      <xdr:rowOff>762961</xdr:rowOff>
    </xdr:to>
    <xdr:pic>
      <xdr:nvPicPr>
        <xdr:cNvPr id="254" name="Picture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21330" y="124355146"/>
          <a:ext cx="1354433" cy="76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103908</xdr:colOff>
      <xdr:row>145</xdr:row>
      <xdr:rowOff>52920</xdr:rowOff>
    </xdr:from>
    <xdr:to>
      <xdr:col>12</xdr:col>
      <xdr:colOff>1460499</xdr:colOff>
      <xdr:row>145</xdr:row>
      <xdr:rowOff>769200</xdr:rowOff>
    </xdr:to>
    <xdr:pic>
      <xdr:nvPicPr>
        <xdr:cNvPr id="257" name="Рисунок 256" descr="Контора Свирь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3044" y="106351920"/>
          <a:ext cx="1356591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41519</xdr:colOff>
      <xdr:row>147</xdr:row>
      <xdr:rowOff>56175</xdr:rowOff>
    </xdr:from>
    <xdr:to>
      <xdr:col>12</xdr:col>
      <xdr:colOff>1397000</xdr:colOff>
      <xdr:row>147</xdr:row>
      <xdr:rowOff>825500</xdr:rowOff>
    </xdr:to>
    <xdr:pic>
      <xdr:nvPicPr>
        <xdr:cNvPr id="260" name="Picture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7769" y="114652508"/>
          <a:ext cx="1355481" cy="76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30447</xdr:colOff>
      <xdr:row>148</xdr:row>
      <xdr:rowOff>40705</xdr:rowOff>
    </xdr:from>
    <xdr:to>
      <xdr:col>12</xdr:col>
      <xdr:colOff>1449916</xdr:colOff>
      <xdr:row>148</xdr:row>
      <xdr:rowOff>726505</xdr:rowOff>
    </xdr:to>
    <xdr:pic>
      <xdr:nvPicPr>
        <xdr:cNvPr id="263" name="Рисунок 262" descr="Кривичи ангар (1)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6697" y="116235122"/>
          <a:ext cx="141946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21166</xdr:colOff>
      <xdr:row>149</xdr:row>
      <xdr:rowOff>31749</xdr:rowOff>
    </xdr:from>
    <xdr:to>
      <xdr:col>12</xdr:col>
      <xdr:colOff>1471083</xdr:colOff>
      <xdr:row>149</xdr:row>
      <xdr:rowOff>709083</xdr:rowOff>
    </xdr:to>
    <xdr:pic>
      <xdr:nvPicPr>
        <xdr:cNvPr id="265" name="Рисунок 264" descr="Кривичи заготмагазин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87416" y="117051666"/>
          <a:ext cx="1449917" cy="6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5701</xdr:colOff>
      <xdr:row>150</xdr:row>
      <xdr:rowOff>40706</xdr:rowOff>
    </xdr:from>
    <xdr:to>
      <xdr:col>12</xdr:col>
      <xdr:colOff>1458061</xdr:colOff>
      <xdr:row>150</xdr:row>
      <xdr:rowOff>726506</xdr:rowOff>
    </xdr:to>
    <xdr:pic>
      <xdr:nvPicPr>
        <xdr:cNvPr id="266" name="Рисунок 265" descr="-5213045310782290547_12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1951" y="118097789"/>
          <a:ext cx="145236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31750</xdr:colOff>
      <xdr:row>155</xdr:row>
      <xdr:rowOff>42335</xdr:rowOff>
    </xdr:from>
    <xdr:to>
      <xdr:col>12</xdr:col>
      <xdr:colOff>1460499</xdr:colOff>
      <xdr:row>156</xdr:row>
      <xdr:rowOff>0</xdr:rowOff>
    </xdr:to>
    <xdr:pic>
      <xdr:nvPicPr>
        <xdr:cNvPr id="304" name="Рисунок 303" descr="image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88625" y="107073853"/>
          <a:ext cx="1428749" cy="853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42332</xdr:colOff>
      <xdr:row>156</xdr:row>
      <xdr:rowOff>42333</xdr:rowOff>
    </xdr:from>
    <xdr:to>
      <xdr:col>12</xdr:col>
      <xdr:colOff>1449915</xdr:colOff>
      <xdr:row>156</xdr:row>
      <xdr:rowOff>740833</xdr:rowOff>
    </xdr:to>
    <xdr:pic>
      <xdr:nvPicPr>
        <xdr:cNvPr id="310" name="Рисунок 309" descr="Комарово Свирское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8582" y="126417916"/>
          <a:ext cx="1407583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63498</xdr:colOff>
      <xdr:row>159</xdr:row>
      <xdr:rowOff>42332</xdr:rowOff>
    </xdr:from>
    <xdr:to>
      <xdr:col>12</xdr:col>
      <xdr:colOff>1542143</xdr:colOff>
      <xdr:row>159</xdr:row>
      <xdr:rowOff>701387</xdr:rowOff>
    </xdr:to>
    <xdr:pic>
      <xdr:nvPicPr>
        <xdr:cNvPr id="315" name="Рисунок 314" descr="Холодильник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20373" y="106756350"/>
          <a:ext cx="1478645" cy="659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42333</xdr:colOff>
      <xdr:row>160</xdr:row>
      <xdr:rowOff>31750</xdr:rowOff>
    </xdr:from>
    <xdr:to>
      <xdr:col>12</xdr:col>
      <xdr:colOff>1542143</xdr:colOff>
      <xdr:row>160</xdr:row>
      <xdr:rowOff>692204</xdr:rowOff>
    </xdr:to>
    <xdr:pic>
      <xdr:nvPicPr>
        <xdr:cNvPr id="316" name="Рисунок 315" descr="Сватки загот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9208" y="107471482"/>
          <a:ext cx="1499810" cy="660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19049</xdr:colOff>
      <xdr:row>14</xdr:row>
      <xdr:rowOff>14816</xdr:rowOff>
    </xdr:from>
    <xdr:to>
      <xdr:col>12</xdr:col>
      <xdr:colOff>1455504</xdr:colOff>
      <xdr:row>14</xdr:row>
      <xdr:rowOff>717051</xdr:rowOff>
    </xdr:to>
    <xdr:pic>
      <xdr:nvPicPr>
        <xdr:cNvPr id="190" name="Рисунок 18" descr="C:\Users\lena\Desktop\ОБК аукцион\фото\для Брилевского\IMG-d1085181a11339e8995ff140bd414477-V.jp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1465" y="2979338"/>
          <a:ext cx="1436455" cy="7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51956</xdr:colOff>
      <xdr:row>26</xdr:row>
      <xdr:rowOff>77932</xdr:rowOff>
    </xdr:from>
    <xdr:to>
      <xdr:col>12</xdr:col>
      <xdr:colOff>1446070</xdr:colOff>
      <xdr:row>26</xdr:row>
      <xdr:rowOff>978477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9289" y="17620865"/>
          <a:ext cx="1394114" cy="912668"/>
        </a:xfrm>
        <a:prstGeom prst="rect">
          <a:avLst/>
        </a:prstGeom>
      </xdr:spPr>
    </xdr:pic>
    <xdr:clientData/>
  </xdr:twoCellAnchor>
  <xdr:twoCellAnchor editAs="oneCell">
    <xdr:from>
      <xdr:col>12</xdr:col>
      <xdr:colOff>69272</xdr:colOff>
      <xdr:row>42</xdr:row>
      <xdr:rowOff>25977</xdr:rowOff>
    </xdr:from>
    <xdr:to>
      <xdr:col>12</xdr:col>
      <xdr:colOff>1437409</xdr:colOff>
      <xdr:row>42</xdr:row>
      <xdr:rowOff>595923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38408" y="30999545"/>
          <a:ext cx="1368137" cy="5699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51954</xdr:colOff>
      <xdr:row>231</xdr:row>
      <xdr:rowOff>51954</xdr:rowOff>
    </xdr:from>
    <xdr:to>
      <xdr:col>12</xdr:col>
      <xdr:colOff>1446069</xdr:colOff>
      <xdr:row>231</xdr:row>
      <xdr:rowOff>771185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9022" y="163959886"/>
          <a:ext cx="1394115" cy="731931"/>
        </a:xfrm>
        <a:prstGeom prst="rect">
          <a:avLst/>
        </a:prstGeom>
      </xdr:spPr>
    </xdr:pic>
    <xdr:clientData/>
  </xdr:twoCellAnchor>
  <xdr:twoCellAnchor editAs="oneCell">
    <xdr:from>
      <xdr:col>12</xdr:col>
      <xdr:colOff>29308</xdr:colOff>
      <xdr:row>12</xdr:row>
      <xdr:rowOff>61872</xdr:rowOff>
    </xdr:from>
    <xdr:to>
      <xdr:col>12</xdr:col>
      <xdr:colOff>1508475</xdr:colOff>
      <xdr:row>12</xdr:row>
      <xdr:rowOff>695645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69665" y="5005801"/>
          <a:ext cx="1479167" cy="633773"/>
        </a:xfrm>
        <a:prstGeom prst="rect">
          <a:avLst/>
        </a:prstGeom>
      </xdr:spPr>
    </xdr:pic>
    <xdr:clientData/>
  </xdr:twoCellAnchor>
  <xdr:twoCellAnchor editAs="oneCell">
    <xdr:from>
      <xdr:col>12</xdr:col>
      <xdr:colOff>76851</xdr:colOff>
      <xdr:row>40</xdr:row>
      <xdr:rowOff>575</xdr:rowOff>
    </xdr:from>
    <xdr:to>
      <xdr:col>12</xdr:col>
      <xdr:colOff>1444544</xdr:colOff>
      <xdr:row>40</xdr:row>
      <xdr:rowOff>560530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6584" y="27830508"/>
          <a:ext cx="1367693" cy="5541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41</xdr:row>
      <xdr:rowOff>43294</xdr:rowOff>
    </xdr:from>
    <xdr:to>
      <xdr:col>12</xdr:col>
      <xdr:colOff>1446070</xdr:colOff>
      <xdr:row>41</xdr:row>
      <xdr:rowOff>580159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7682" y="30246203"/>
          <a:ext cx="1385456" cy="5368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46</xdr:row>
      <xdr:rowOff>51956</xdr:rowOff>
    </xdr:from>
    <xdr:to>
      <xdr:col>12</xdr:col>
      <xdr:colOff>1454728</xdr:colOff>
      <xdr:row>47</xdr:row>
      <xdr:rowOff>7900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1091" y="34662342"/>
          <a:ext cx="1402773" cy="5586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63</xdr:row>
      <xdr:rowOff>25977</xdr:rowOff>
    </xdr:from>
    <xdr:to>
      <xdr:col>12</xdr:col>
      <xdr:colOff>1455615</xdr:colOff>
      <xdr:row>63</xdr:row>
      <xdr:rowOff>654537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909"/>
        <a:stretch/>
      </xdr:blipFill>
      <xdr:spPr>
        <a:xfrm>
          <a:off x="9421091" y="47062159"/>
          <a:ext cx="1403660" cy="628560"/>
        </a:xfrm>
        <a:prstGeom prst="rect">
          <a:avLst/>
        </a:prstGeom>
      </xdr:spPr>
    </xdr:pic>
    <xdr:clientData/>
  </xdr:twoCellAnchor>
  <xdr:twoCellAnchor editAs="oneCell">
    <xdr:from>
      <xdr:col>12</xdr:col>
      <xdr:colOff>48847</xdr:colOff>
      <xdr:row>71</xdr:row>
      <xdr:rowOff>58615</xdr:rowOff>
    </xdr:from>
    <xdr:to>
      <xdr:col>12</xdr:col>
      <xdr:colOff>1445846</xdr:colOff>
      <xdr:row>71</xdr:row>
      <xdr:rowOff>768661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81309" y="55850692"/>
          <a:ext cx="1396999" cy="722924"/>
        </a:xfrm>
        <a:prstGeom prst="rect">
          <a:avLst/>
        </a:prstGeom>
      </xdr:spPr>
    </xdr:pic>
    <xdr:clientData/>
  </xdr:twoCellAnchor>
  <xdr:twoCellAnchor editAs="oneCell">
    <xdr:from>
      <xdr:col>12</xdr:col>
      <xdr:colOff>18087</xdr:colOff>
      <xdr:row>71</xdr:row>
      <xdr:rowOff>795867</xdr:rowOff>
    </xdr:from>
    <xdr:to>
      <xdr:col>12</xdr:col>
      <xdr:colOff>1556692</xdr:colOff>
      <xdr:row>72</xdr:row>
      <xdr:rowOff>662901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165"/>
        <a:stretch/>
      </xdr:blipFill>
      <xdr:spPr>
        <a:xfrm>
          <a:off x="10076487" y="52053067"/>
          <a:ext cx="1542537" cy="674831"/>
        </a:xfrm>
        <a:prstGeom prst="rect">
          <a:avLst/>
        </a:prstGeom>
      </xdr:spPr>
    </xdr:pic>
    <xdr:clientData/>
  </xdr:twoCellAnchor>
  <xdr:twoCellAnchor editAs="oneCell">
    <xdr:from>
      <xdr:col>12</xdr:col>
      <xdr:colOff>60615</xdr:colOff>
      <xdr:row>73</xdr:row>
      <xdr:rowOff>60614</xdr:rowOff>
    </xdr:from>
    <xdr:to>
      <xdr:col>12</xdr:col>
      <xdr:colOff>1454729</xdr:colOff>
      <xdr:row>73</xdr:row>
      <xdr:rowOff>632114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7683" y="54621546"/>
          <a:ext cx="1394114" cy="58016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10420</xdr:colOff>
      <xdr:row>76</xdr:row>
      <xdr:rowOff>25400</xdr:rowOff>
    </xdr:from>
    <xdr:to>
      <xdr:col>12</xdr:col>
      <xdr:colOff>1528237</xdr:colOff>
      <xdr:row>76</xdr:row>
      <xdr:rowOff>651933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68820" y="62179200"/>
          <a:ext cx="1522047" cy="626533"/>
        </a:xfrm>
        <a:prstGeom prst="rect">
          <a:avLst/>
        </a:prstGeom>
      </xdr:spPr>
    </xdr:pic>
    <xdr:clientData/>
  </xdr:twoCellAnchor>
  <xdr:twoCellAnchor editAs="oneCell">
    <xdr:from>
      <xdr:col>12</xdr:col>
      <xdr:colOff>51955</xdr:colOff>
      <xdr:row>75</xdr:row>
      <xdr:rowOff>43295</xdr:rowOff>
    </xdr:from>
    <xdr:to>
      <xdr:col>12</xdr:col>
      <xdr:colOff>1515135</xdr:colOff>
      <xdr:row>75</xdr:row>
      <xdr:rowOff>654539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1091" y="56102250"/>
          <a:ext cx="1420091" cy="611244"/>
        </a:xfrm>
        <a:prstGeom prst="rect">
          <a:avLst/>
        </a:prstGeom>
      </xdr:spPr>
    </xdr:pic>
    <xdr:clientData/>
  </xdr:twoCellAnchor>
  <xdr:twoCellAnchor editAs="oneCell">
    <xdr:from>
      <xdr:col>12</xdr:col>
      <xdr:colOff>8468</xdr:colOff>
      <xdr:row>77</xdr:row>
      <xdr:rowOff>0</xdr:rowOff>
    </xdr:from>
    <xdr:to>
      <xdr:col>12</xdr:col>
      <xdr:colOff>1534886</xdr:colOff>
      <xdr:row>78</xdr:row>
      <xdr:rowOff>17320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6868" y="62839600"/>
          <a:ext cx="1498600" cy="719667"/>
        </a:xfrm>
        <a:prstGeom prst="rect">
          <a:avLst/>
        </a:prstGeom>
      </xdr:spPr>
    </xdr:pic>
    <xdr:clientData/>
  </xdr:twoCellAnchor>
  <xdr:twoCellAnchor editAs="oneCell">
    <xdr:from>
      <xdr:col>12</xdr:col>
      <xdr:colOff>51955</xdr:colOff>
      <xdr:row>74</xdr:row>
      <xdr:rowOff>58615</xdr:rowOff>
    </xdr:from>
    <xdr:to>
      <xdr:col>12</xdr:col>
      <xdr:colOff>1437409</xdr:colOff>
      <xdr:row>74</xdr:row>
      <xdr:rowOff>630115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9023" y="55303615"/>
          <a:ext cx="1385454" cy="576385"/>
        </a:xfrm>
        <a:prstGeom prst="rect">
          <a:avLst/>
        </a:prstGeom>
      </xdr:spPr>
    </xdr:pic>
    <xdr:clientData/>
  </xdr:twoCellAnchor>
  <xdr:twoCellAnchor editAs="oneCell">
    <xdr:from>
      <xdr:col>12</xdr:col>
      <xdr:colOff>43296</xdr:colOff>
      <xdr:row>99</xdr:row>
      <xdr:rowOff>25977</xdr:rowOff>
    </xdr:from>
    <xdr:to>
      <xdr:col>12</xdr:col>
      <xdr:colOff>1536675</xdr:colOff>
      <xdr:row>99</xdr:row>
      <xdr:rowOff>580159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2432" y="64016659"/>
          <a:ext cx="1446068" cy="554182"/>
        </a:xfrm>
        <a:prstGeom prst="rect">
          <a:avLst/>
        </a:prstGeom>
      </xdr:spPr>
    </xdr:pic>
    <xdr:clientData/>
  </xdr:twoCellAnchor>
  <xdr:twoCellAnchor editAs="oneCell">
    <xdr:from>
      <xdr:col>12</xdr:col>
      <xdr:colOff>77932</xdr:colOff>
      <xdr:row>100</xdr:row>
      <xdr:rowOff>34636</xdr:rowOff>
    </xdr:from>
    <xdr:to>
      <xdr:col>12</xdr:col>
      <xdr:colOff>1446069</xdr:colOff>
      <xdr:row>100</xdr:row>
      <xdr:rowOff>692727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47068" y="64752681"/>
          <a:ext cx="1368137" cy="658091"/>
        </a:xfrm>
        <a:prstGeom prst="rect">
          <a:avLst/>
        </a:prstGeom>
      </xdr:spPr>
    </xdr:pic>
    <xdr:clientData/>
  </xdr:twoCellAnchor>
  <xdr:twoCellAnchor editAs="oneCell">
    <xdr:from>
      <xdr:col>12</xdr:col>
      <xdr:colOff>34636</xdr:colOff>
      <xdr:row>101</xdr:row>
      <xdr:rowOff>29306</xdr:rowOff>
    </xdr:from>
    <xdr:to>
      <xdr:col>12</xdr:col>
      <xdr:colOff>1454727</xdr:colOff>
      <xdr:row>101</xdr:row>
      <xdr:rowOff>664306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2" b="-1"/>
        <a:stretch/>
      </xdr:blipFill>
      <xdr:spPr>
        <a:xfrm>
          <a:off x="9403772" y="65370806"/>
          <a:ext cx="1420091" cy="635001"/>
        </a:xfrm>
        <a:prstGeom prst="rect">
          <a:avLst/>
        </a:prstGeom>
      </xdr:spPr>
    </xdr:pic>
    <xdr:clientData/>
  </xdr:twoCellAnchor>
  <xdr:twoCellAnchor editAs="oneCell">
    <xdr:from>
      <xdr:col>12</xdr:col>
      <xdr:colOff>69273</xdr:colOff>
      <xdr:row>102</xdr:row>
      <xdr:rowOff>25400</xdr:rowOff>
    </xdr:from>
    <xdr:to>
      <xdr:col>12</xdr:col>
      <xdr:colOff>1532768</xdr:colOff>
      <xdr:row>102</xdr:row>
      <xdr:rowOff>683491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10127673" y="81144533"/>
          <a:ext cx="1454727" cy="668215"/>
        </a:xfrm>
        <a:prstGeom prst="rect">
          <a:avLst/>
        </a:prstGeom>
      </xdr:spPr>
    </xdr:pic>
    <xdr:clientData/>
  </xdr:twoCellAnchor>
  <xdr:twoCellAnchor editAs="oneCell">
    <xdr:from>
      <xdr:col>12</xdr:col>
      <xdr:colOff>58616</xdr:colOff>
      <xdr:row>106</xdr:row>
      <xdr:rowOff>51955</xdr:rowOff>
    </xdr:from>
    <xdr:to>
      <xdr:col>12</xdr:col>
      <xdr:colOff>1406769</xdr:colOff>
      <xdr:row>106</xdr:row>
      <xdr:rowOff>586155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27752" y="68943682"/>
          <a:ext cx="1348153" cy="5342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60614</xdr:colOff>
      <xdr:row>112</xdr:row>
      <xdr:rowOff>60613</xdr:rowOff>
    </xdr:from>
    <xdr:to>
      <xdr:col>12</xdr:col>
      <xdr:colOff>1437410</xdr:colOff>
      <xdr:row>112</xdr:row>
      <xdr:rowOff>752142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 rotWithShape="1"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29750" y="72952840"/>
          <a:ext cx="1376796" cy="693838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33548</xdr:colOff>
      <xdr:row>111</xdr:row>
      <xdr:rowOff>51511</xdr:rowOff>
    </xdr:from>
    <xdr:to>
      <xdr:col>12</xdr:col>
      <xdr:colOff>1446069</xdr:colOff>
      <xdr:row>111</xdr:row>
      <xdr:rowOff>701386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2684" y="72181738"/>
          <a:ext cx="1412521" cy="649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60614</xdr:colOff>
      <xdr:row>117</xdr:row>
      <xdr:rowOff>58614</xdr:rowOff>
    </xdr:from>
    <xdr:to>
      <xdr:col>12</xdr:col>
      <xdr:colOff>1446069</xdr:colOff>
      <xdr:row>117</xdr:row>
      <xdr:rowOff>675409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76899387"/>
          <a:ext cx="1385455" cy="616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48847</xdr:colOff>
      <xdr:row>209</xdr:row>
      <xdr:rowOff>9769</xdr:rowOff>
    </xdr:from>
    <xdr:to>
      <xdr:col>12</xdr:col>
      <xdr:colOff>1548072</xdr:colOff>
      <xdr:row>209</xdr:row>
      <xdr:rowOff>926211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1309" y="153269461"/>
          <a:ext cx="1504460" cy="9476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48846</xdr:colOff>
      <xdr:row>210</xdr:row>
      <xdr:rowOff>39078</xdr:rowOff>
    </xdr:from>
    <xdr:to>
      <xdr:col>12</xdr:col>
      <xdr:colOff>1445846</xdr:colOff>
      <xdr:row>210</xdr:row>
      <xdr:rowOff>632884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5096" y="151804078"/>
          <a:ext cx="1397000" cy="6065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48845</xdr:colOff>
      <xdr:row>211</xdr:row>
      <xdr:rowOff>9769</xdr:rowOff>
    </xdr:from>
    <xdr:to>
      <xdr:col>12</xdr:col>
      <xdr:colOff>1455614</xdr:colOff>
      <xdr:row>211</xdr:row>
      <xdr:rowOff>641838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1307" y="155242846"/>
          <a:ext cx="1406769" cy="644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41295</xdr:colOff>
      <xdr:row>29</xdr:row>
      <xdr:rowOff>51955</xdr:rowOff>
    </xdr:from>
    <xdr:to>
      <xdr:col>12</xdr:col>
      <xdr:colOff>1418757</xdr:colOff>
      <xdr:row>29</xdr:row>
      <xdr:rowOff>862977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0431" y="19084637"/>
          <a:ext cx="1377462" cy="8121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48846</xdr:colOff>
      <xdr:row>30</xdr:row>
      <xdr:rowOff>77935</xdr:rowOff>
    </xdr:from>
    <xdr:to>
      <xdr:col>12</xdr:col>
      <xdr:colOff>1420091</xdr:colOff>
      <xdr:row>30</xdr:row>
      <xdr:rowOff>890734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9696628" y="19767153"/>
          <a:ext cx="813954" cy="1371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60835</xdr:colOff>
      <xdr:row>31</xdr:row>
      <xdr:rowOff>46847</xdr:rowOff>
    </xdr:from>
    <xdr:to>
      <xdr:col>12</xdr:col>
      <xdr:colOff>1411432</xdr:colOff>
      <xdr:row>31</xdr:row>
      <xdr:rowOff>1003078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 rotWithShape="1"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429971" y="20949892"/>
          <a:ext cx="1350597" cy="9573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51955</xdr:colOff>
      <xdr:row>236</xdr:row>
      <xdr:rowOff>60614</xdr:rowOff>
    </xdr:from>
    <xdr:to>
      <xdr:col>12</xdr:col>
      <xdr:colOff>1515135</xdr:colOff>
      <xdr:row>236</xdr:row>
      <xdr:rowOff>613640</xdr:rowOff>
    </xdr:to>
    <xdr:pic>
      <xdr:nvPicPr>
        <xdr:cNvPr id="281" name="Рисунок 280" descr="20">
          <a:extLst>
            <a:ext uri="{FF2B5EF4-FFF2-40B4-BE49-F238E27FC236}">
              <a16:creationId xmlns:a16="http://schemas.microsoft.com/office/drawing/2014/main" id="{13B7A799-46C4-4B66-952F-AAB76D80D007}"/>
            </a:ext>
          </a:extLst>
        </xdr:cNvPr>
        <xdr:cNvPicPr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9023" y="166176614"/>
          <a:ext cx="142009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34635</xdr:colOff>
      <xdr:row>237</xdr:row>
      <xdr:rowOff>51954</xdr:rowOff>
    </xdr:from>
    <xdr:to>
      <xdr:col>12</xdr:col>
      <xdr:colOff>1411432</xdr:colOff>
      <xdr:row>237</xdr:row>
      <xdr:rowOff>622299</xdr:rowOff>
    </xdr:to>
    <xdr:pic>
      <xdr:nvPicPr>
        <xdr:cNvPr id="325" name="Рисунок 324" descr="15">
          <a:extLst>
            <a:ext uri="{FF2B5EF4-FFF2-40B4-BE49-F238E27FC236}">
              <a16:creationId xmlns:a16="http://schemas.microsoft.com/office/drawing/2014/main" id="{E5288E74-4FAD-4356-A82E-D8D92E56DE82}"/>
            </a:ext>
          </a:extLst>
        </xdr:cNvPr>
        <xdr:cNvPicPr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1703" y="166843363"/>
          <a:ext cx="1376797" cy="5888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69274</xdr:colOff>
      <xdr:row>238</xdr:row>
      <xdr:rowOff>34637</xdr:rowOff>
    </xdr:from>
    <xdr:to>
      <xdr:col>12</xdr:col>
      <xdr:colOff>1437410</xdr:colOff>
      <xdr:row>238</xdr:row>
      <xdr:rowOff>622299</xdr:rowOff>
    </xdr:to>
    <xdr:pic>
      <xdr:nvPicPr>
        <xdr:cNvPr id="326" name="Рисунок 325" descr="Мяд 046">
          <a:extLst>
            <a:ext uri="{FF2B5EF4-FFF2-40B4-BE49-F238E27FC236}">
              <a16:creationId xmlns:a16="http://schemas.microsoft.com/office/drawing/2014/main" id="{6FB7648E-E7FC-4C60-80CD-D6D365B926A6}"/>
            </a:ext>
          </a:extLst>
        </xdr:cNvPr>
        <xdr:cNvPicPr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6342" y="167501455"/>
          <a:ext cx="1368136" cy="6061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60615</xdr:colOff>
      <xdr:row>239</xdr:row>
      <xdr:rowOff>43295</xdr:rowOff>
    </xdr:from>
    <xdr:to>
      <xdr:col>12</xdr:col>
      <xdr:colOff>1437409</xdr:colOff>
      <xdr:row>239</xdr:row>
      <xdr:rowOff>607257</xdr:rowOff>
    </xdr:to>
    <xdr:pic>
      <xdr:nvPicPr>
        <xdr:cNvPr id="328" name="Рисунок 327" descr="21">
          <a:extLst>
            <a:ext uri="{FF2B5EF4-FFF2-40B4-BE49-F238E27FC236}">
              <a16:creationId xmlns:a16="http://schemas.microsoft.com/office/drawing/2014/main" id="{14D738A2-3833-4B82-A5E4-66D528563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7683" y="168860931"/>
          <a:ext cx="1376794" cy="56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43296</xdr:colOff>
      <xdr:row>240</xdr:row>
      <xdr:rowOff>60613</xdr:rowOff>
    </xdr:from>
    <xdr:to>
      <xdr:col>12</xdr:col>
      <xdr:colOff>1428750</xdr:colOff>
      <xdr:row>240</xdr:row>
      <xdr:rowOff>613639</xdr:rowOff>
    </xdr:to>
    <xdr:pic>
      <xdr:nvPicPr>
        <xdr:cNvPr id="329" name="Рисунок 328" descr="CIMG6312">
          <a:extLst>
            <a:ext uri="{FF2B5EF4-FFF2-40B4-BE49-F238E27FC236}">
              <a16:creationId xmlns:a16="http://schemas.microsoft.com/office/drawing/2014/main" id="{5866B802-4594-4DD1-80F5-6A802C932644}"/>
            </a:ext>
          </a:extLst>
        </xdr:cNvPr>
        <xdr:cNvPicPr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0364" y="169553658"/>
          <a:ext cx="1385454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25400</xdr:colOff>
      <xdr:row>27</xdr:row>
      <xdr:rowOff>33867</xdr:rowOff>
    </xdr:from>
    <xdr:to>
      <xdr:col>12</xdr:col>
      <xdr:colOff>1532768</xdr:colOff>
      <xdr:row>27</xdr:row>
      <xdr:rowOff>1023312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3800" y="17551400"/>
          <a:ext cx="1498600" cy="990600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25401</xdr:colOff>
      <xdr:row>193</xdr:row>
      <xdr:rowOff>668866</xdr:rowOff>
    </xdr:from>
    <xdr:to>
      <xdr:col>12</xdr:col>
      <xdr:colOff>1456267</xdr:colOff>
      <xdr:row>195</xdr:row>
      <xdr:rowOff>2</xdr:rowOff>
    </xdr:to>
    <xdr:pic>
      <xdr:nvPicPr>
        <xdr:cNvPr id="359" name="Рисунок 358" descr="C:\Users\KapturIA\Desktop\Мядельский район обследование\Новая папка (3)\IMG_1922.JPG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159" cstate="print"/>
        <a:srcRect l="2165" t="35832" r="736" b="47843"/>
        <a:stretch>
          <a:fillRect/>
        </a:stretch>
      </xdr:blipFill>
      <xdr:spPr bwMode="auto">
        <a:xfrm>
          <a:off x="10083801" y="145618199"/>
          <a:ext cx="1430866" cy="719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25401</xdr:colOff>
      <xdr:row>194</xdr:row>
      <xdr:rowOff>685801</xdr:rowOff>
    </xdr:from>
    <xdr:to>
      <xdr:col>12</xdr:col>
      <xdr:colOff>1535943</xdr:colOff>
      <xdr:row>196</xdr:row>
      <xdr:rowOff>12293</xdr:rowOff>
    </xdr:to>
    <xdr:pic>
      <xdr:nvPicPr>
        <xdr:cNvPr id="373" name="Рисунок 372" descr="IMG_1927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160" cstate="print"/>
        <a:srcRect t="20994" b="15463"/>
        <a:stretch>
          <a:fillRect/>
        </a:stretch>
      </xdr:blipFill>
      <xdr:spPr>
        <a:xfrm>
          <a:off x="10083801" y="146329401"/>
          <a:ext cx="1473199" cy="69426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196</xdr:row>
      <xdr:rowOff>0</xdr:rowOff>
    </xdr:from>
    <xdr:to>
      <xdr:col>12</xdr:col>
      <xdr:colOff>1535943</xdr:colOff>
      <xdr:row>197</xdr:row>
      <xdr:rowOff>1</xdr:rowOff>
    </xdr:to>
    <xdr:pic>
      <xdr:nvPicPr>
        <xdr:cNvPr id="377" name="Рисунок 376" descr="IMG_1932.JPG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161" cstate="print"/>
        <a:srcRect l="2154" t="17959" r="1233" b="27743"/>
        <a:stretch>
          <a:fillRect/>
        </a:stretch>
      </xdr:blipFill>
      <xdr:spPr>
        <a:xfrm>
          <a:off x="10058400" y="147032133"/>
          <a:ext cx="1498600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197</xdr:row>
      <xdr:rowOff>1</xdr:rowOff>
    </xdr:from>
    <xdr:to>
      <xdr:col>12</xdr:col>
      <xdr:colOff>1570869</xdr:colOff>
      <xdr:row>197</xdr:row>
      <xdr:rowOff>630767</xdr:rowOff>
    </xdr:to>
    <xdr:pic>
      <xdr:nvPicPr>
        <xdr:cNvPr id="379" name="Рисунок 378" descr="IMG_1927.JPG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162" cstate="print"/>
        <a:srcRect t="23297" r="-2109" b="14337"/>
        <a:stretch>
          <a:fillRect/>
        </a:stretch>
      </xdr:blipFill>
      <xdr:spPr>
        <a:xfrm>
          <a:off x="10058401" y="147726401"/>
          <a:ext cx="1574800" cy="64346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198</xdr:row>
      <xdr:rowOff>1</xdr:rowOff>
    </xdr:from>
    <xdr:to>
      <xdr:col>12</xdr:col>
      <xdr:colOff>1537001</xdr:colOff>
      <xdr:row>198</xdr:row>
      <xdr:rowOff>647701</xdr:rowOff>
    </xdr:to>
    <xdr:pic>
      <xdr:nvPicPr>
        <xdr:cNvPr id="354" name="Рисунок 353" descr="IMG_1939.JPG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163" cstate="print"/>
        <a:srcRect t="23443" b="29670"/>
        <a:stretch>
          <a:fillRect/>
        </a:stretch>
      </xdr:blipFill>
      <xdr:spPr>
        <a:xfrm>
          <a:off x="10058400" y="148420668"/>
          <a:ext cx="1540933" cy="6604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640396</xdr:colOff>
      <xdr:row>199</xdr:row>
      <xdr:rowOff>16936</xdr:rowOff>
    </xdr:from>
    <xdr:to>
      <xdr:col>12</xdr:col>
      <xdr:colOff>1671410</xdr:colOff>
      <xdr:row>199</xdr:row>
      <xdr:rowOff>656167</xdr:rowOff>
    </xdr:to>
    <xdr:pic>
      <xdr:nvPicPr>
        <xdr:cNvPr id="360" name="Рисунок 359" descr="IMG_1937.JPG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98" t="-2946" r="23440" b="-1913"/>
        <a:stretch>
          <a:fillRect/>
        </a:stretch>
      </xdr:blipFill>
      <xdr:spPr>
        <a:xfrm rot="5400000">
          <a:off x="10522532" y="148613866"/>
          <a:ext cx="651931" cy="1687937"/>
        </a:xfrm>
        <a:prstGeom prst="rect">
          <a:avLst/>
        </a:prstGeom>
      </xdr:spPr>
    </xdr:pic>
    <xdr:clientData/>
  </xdr:twoCellAnchor>
  <xdr:twoCellAnchor editAs="oneCell">
    <xdr:from>
      <xdr:col>12</xdr:col>
      <xdr:colOff>25399</xdr:colOff>
      <xdr:row>200</xdr:row>
      <xdr:rowOff>16935</xdr:rowOff>
    </xdr:from>
    <xdr:to>
      <xdr:col>12</xdr:col>
      <xdr:colOff>1562401</xdr:colOff>
      <xdr:row>201</xdr:row>
      <xdr:rowOff>1543</xdr:rowOff>
    </xdr:to>
    <xdr:pic>
      <xdr:nvPicPr>
        <xdr:cNvPr id="376" name="Рисунок 375" descr="IMG_1936.JPG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3" t="-15" r="24538" b="69"/>
        <a:stretch>
          <a:fillRect/>
        </a:stretch>
      </xdr:blipFill>
      <xdr:spPr>
        <a:xfrm rot="5400000">
          <a:off x="10511365" y="149398569"/>
          <a:ext cx="685802" cy="154093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201</xdr:row>
      <xdr:rowOff>25400</xdr:rowOff>
    </xdr:from>
    <xdr:to>
      <xdr:col>12</xdr:col>
      <xdr:colOff>1562401</xdr:colOff>
      <xdr:row>202</xdr:row>
      <xdr:rowOff>1</xdr:rowOff>
    </xdr:to>
    <xdr:pic>
      <xdr:nvPicPr>
        <xdr:cNvPr id="381" name="Рисунок 380" descr="IMG_E1946.JPG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82" b="16273"/>
        <a:stretch>
          <a:fillRect/>
        </a:stretch>
      </xdr:blipFill>
      <xdr:spPr>
        <a:xfrm>
          <a:off x="10058400" y="151917400"/>
          <a:ext cx="1566333" cy="658918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16933</xdr:colOff>
      <xdr:row>201</xdr:row>
      <xdr:rowOff>685808</xdr:rowOff>
    </xdr:from>
    <xdr:to>
      <xdr:col>12</xdr:col>
      <xdr:colOff>1535943</xdr:colOff>
      <xdr:row>203</xdr:row>
      <xdr:rowOff>6579</xdr:rowOff>
    </xdr:to>
    <xdr:pic>
      <xdr:nvPicPr>
        <xdr:cNvPr id="382" name="Рисунок 381" descr="IMG_1942.JPG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2" t="1144" r="32533" b="2213"/>
        <a:stretch>
          <a:fillRect/>
        </a:stretch>
      </xdr:blipFill>
      <xdr:spPr>
        <a:xfrm rot="5400000">
          <a:off x="10460938" y="152192203"/>
          <a:ext cx="710457" cy="1481667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25400</xdr:colOff>
      <xdr:row>203</xdr:row>
      <xdr:rowOff>25400</xdr:rowOff>
    </xdr:from>
    <xdr:to>
      <xdr:col>12</xdr:col>
      <xdr:colOff>1604735</xdr:colOff>
      <xdr:row>204</xdr:row>
      <xdr:rowOff>1355</xdr:rowOff>
    </xdr:to>
    <xdr:pic>
      <xdr:nvPicPr>
        <xdr:cNvPr id="383" name="Рисунок 382" descr="IMG_1943.JPG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/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0" t="26605" r="-2649" b="33279"/>
        <a:stretch/>
      </xdr:blipFill>
      <xdr:spPr bwMode="auto">
        <a:xfrm>
          <a:off x="10083800" y="153305933"/>
          <a:ext cx="1583267" cy="6519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16933</xdr:colOff>
      <xdr:row>203</xdr:row>
      <xdr:rowOff>685801</xdr:rowOff>
    </xdr:from>
    <xdr:to>
      <xdr:col>12</xdr:col>
      <xdr:colOff>1553935</xdr:colOff>
      <xdr:row>205</xdr:row>
      <xdr:rowOff>7311</xdr:rowOff>
    </xdr:to>
    <xdr:pic>
      <xdr:nvPicPr>
        <xdr:cNvPr id="384" name="Рисунок 383" descr="IMG_E1947.JP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/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23" r="-2281" b="15582"/>
        <a:stretch>
          <a:fillRect/>
        </a:stretch>
      </xdr:blipFill>
      <xdr:spPr>
        <a:xfrm>
          <a:off x="10075333" y="153966334"/>
          <a:ext cx="1540934" cy="711199"/>
        </a:xfrm>
        <a:prstGeom prst="rect">
          <a:avLst/>
        </a:prstGeom>
      </xdr:spPr>
    </xdr:pic>
    <xdr:clientData/>
  </xdr:twoCellAnchor>
  <xdr:twoCellAnchor editAs="oneCell">
    <xdr:from>
      <xdr:col>11</xdr:col>
      <xdr:colOff>660401</xdr:colOff>
      <xdr:row>78</xdr:row>
      <xdr:rowOff>0</xdr:rowOff>
    </xdr:from>
    <xdr:to>
      <xdr:col>12</xdr:col>
      <xdr:colOff>1546951</xdr:colOff>
      <xdr:row>79</xdr:row>
      <xdr:rowOff>64317</xdr:rowOff>
    </xdr:to>
    <xdr:pic>
      <xdr:nvPicPr>
        <xdr:cNvPr id="393" name="Рисунок 392" descr="20221020_171740.jpg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/>
      </xdr:nvPicPr>
      <xdr:blipFill>
        <a:blip xmlns:r="http://schemas.openxmlformats.org/officeDocument/2006/relationships" r:embed="rId170" cstate="print"/>
        <a:srcRect r="1731" b="15528"/>
        <a:stretch>
          <a:fillRect/>
        </a:stretch>
      </xdr:blipFill>
      <xdr:spPr>
        <a:xfrm>
          <a:off x="10024534" y="64880068"/>
          <a:ext cx="1566333" cy="76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16934</xdr:colOff>
      <xdr:row>79</xdr:row>
      <xdr:rowOff>16933</xdr:rowOff>
    </xdr:from>
    <xdr:to>
      <xdr:col>12</xdr:col>
      <xdr:colOff>1532769</xdr:colOff>
      <xdr:row>80</xdr:row>
      <xdr:rowOff>34251</xdr:rowOff>
    </xdr:to>
    <xdr:pic>
      <xdr:nvPicPr>
        <xdr:cNvPr id="395" name="Рисунок 394" descr="20221020_171812.jpg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171" cstate="print"/>
        <a:srcRect b="11355"/>
        <a:stretch>
          <a:fillRect/>
        </a:stretch>
      </xdr:blipFill>
      <xdr:spPr>
        <a:xfrm>
          <a:off x="10075334" y="65599733"/>
          <a:ext cx="1507067" cy="719667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685801</xdr:colOff>
      <xdr:row>80</xdr:row>
      <xdr:rowOff>59267</xdr:rowOff>
    </xdr:from>
    <xdr:to>
      <xdr:col>12</xdr:col>
      <xdr:colOff>1583358</xdr:colOff>
      <xdr:row>81</xdr:row>
      <xdr:rowOff>0</xdr:rowOff>
    </xdr:to>
    <xdr:pic>
      <xdr:nvPicPr>
        <xdr:cNvPr id="396" name="Рисунок 395" descr="20221020_171824.jp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0049934" y="66327867"/>
          <a:ext cx="1600200" cy="626533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25401</xdr:colOff>
      <xdr:row>157</xdr:row>
      <xdr:rowOff>76199</xdr:rowOff>
    </xdr:from>
    <xdr:to>
      <xdr:col>12</xdr:col>
      <xdr:colOff>1462769</xdr:colOff>
      <xdr:row>157</xdr:row>
      <xdr:rowOff>662710</xdr:rowOff>
    </xdr:to>
    <xdr:pic>
      <xdr:nvPicPr>
        <xdr:cNvPr id="398" name="Рисунок 397" descr="20221020_162157.jpg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/>
      </xdr:nvPicPr>
      <xdr:blipFill rotWithShape="1">
        <a:blip xmlns:r="http://schemas.openxmlformats.org/officeDocument/2006/relationships" r:embed="rId173" cstate="print"/>
        <a:srcRect t="5232" r="6699" b="19186"/>
        <a:stretch/>
      </xdr:blipFill>
      <xdr:spPr bwMode="auto">
        <a:xfrm>
          <a:off x="10582276" y="105293431"/>
          <a:ext cx="1437368" cy="5865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50800</xdr:colOff>
      <xdr:row>58</xdr:row>
      <xdr:rowOff>8466</xdr:rowOff>
    </xdr:from>
    <xdr:to>
      <xdr:col>12</xdr:col>
      <xdr:colOff>1528237</xdr:colOff>
      <xdr:row>59</xdr:row>
      <xdr:rowOff>8468</xdr:rowOff>
    </xdr:to>
    <xdr:pic>
      <xdr:nvPicPr>
        <xdr:cNvPr id="411" name="Рисунок 410" descr="20221020_152133_resized.jpg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/>
      </xdr:nvPicPr>
      <xdr:blipFill>
        <a:blip xmlns:r="http://schemas.openxmlformats.org/officeDocument/2006/relationships" r:embed="rId174" cstate="print"/>
        <a:srcRect l="10280" r="-466" b="30978"/>
        <a:stretch>
          <a:fillRect/>
        </a:stretch>
      </xdr:blipFill>
      <xdr:spPr>
        <a:xfrm>
          <a:off x="10109200" y="49419933"/>
          <a:ext cx="1430867" cy="719667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685801</xdr:colOff>
      <xdr:row>81</xdr:row>
      <xdr:rowOff>25401</xdr:rowOff>
    </xdr:from>
    <xdr:to>
      <xdr:col>12</xdr:col>
      <xdr:colOff>1617224</xdr:colOff>
      <xdr:row>82</xdr:row>
      <xdr:rowOff>3134</xdr:rowOff>
    </xdr:to>
    <xdr:pic>
      <xdr:nvPicPr>
        <xdr:cNvPr id="399" name="Рисунок 398" descr="20221020_155851.jp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/>
      </xdr:nvPicPr>
      <xdr:blipFill rotWithShape="1">
        <a:blip xmlns:r="http://schemas.openxmlformats.org/officeDocument/2006/relationships" r:embed="rId175" cstate="print"/>
        <a:srcRect l="10407" t="25374" r="-342" b="18947"/>
        <a:stretch/>
      </xdr:blipFill>
      <xdr:spPr bwMode="auto">
        <a:xfrm>
          <a:off x="10049934" y="71136934"/>
          <a:ext cx="1634066" cy="6519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0</xdr:colOff>
      <xdr:row>82</xdr:row>
      <xdr:rowOff>0</xdr:rowOff>
    </xdr:from>
    <xdr:to>
      <xdr:col>12</xdr:col>
      <xdr:colOff>1528237</xdr:colOff>
      <xdr:row>82</xdr:row>
      <xdr:rowOff>658091</xdr:rowOff>
    </xdr:to>
    <xdr:pic>
      <xdr:nvPicPr>
        <xdr:cNvPr id="400" name="Рисунок 399" descr="20221020_160237.jpg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/>
      </xdr:nvPicPr>
      <xdr:blipFill>
        <a:blip xmlns:r="http://schemas.openxmlformats.org/officeDocument/2006/relationships" r:embed="rId176" cstate="print"/>
        <a:srcRect l="-2175" r="1508" b="20423"/>
        <a:stretch>
          <a:fillRect/>
        </a:stretch>
      </xdr:blipFill>
      <xdr:spPr>
        <a:xfrm>
          <a:off x="10058400" y="71797333"/>
          <a:ext cx="1532467" cy="660400"/>
        </a:xfrm>
        <a:prstGeom prst="rect">
          <a:avLst/>
        </a:prstGeom>
      </xdr:spPr>
    </xdr:pic>
    <xdr:clientData/>
  </xdr:twoCellAnchor>
  <xdr:twoCellAnchor editAs="oneCell">
    <xdr:from>
      <xdr:col>12</xdr:col>
      <xdr:colOff>42334</xdr:colOff>
      <xdr:row>83</xdr:row>
      <xdr:rowOff>1</xdr:rowOff>
    </xdr:from>
    <xdr:to>
      <xdr:col>12</xdr:col>
      <xdr:colOff>1537002</xdr:colOff>
      <xdr:row>83</xdr:row>
      <xdr:rowOff>643468</xdr:rowOff>
    </xdr:to>
    <xdr:pic>
      <xdr:nvPicPr>
        <xdr:cNvPr id="405" name="Рисунок 404" descr="20221020_160250.jp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/>
      </xdr:nvPicPr>
      <xdr:blipFill rotWithShape="1">
        <a:blip xmlns:r="http://schemas.openxmlformats.org/officeDocument/2006/relationships" r:embed="rId177" cstate="print"/>
        <a:srcRect t="-1" r="32635" b="18044"/>
        <a:stretch/>
      </xdr:blipFill>
      <xdr:spPr bwMode="auto">
        <a:xfrm>
          <a:off x="10100734" y="72483134"/>
          <a:ext cx="1498600" cy="6434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16934</xdr:colOff>
      <xdr:row>83</xdr:row>
      <xdr:rowOff>651933</xdr:rowOff>
    </xdr:from>
    <xdr:to>
      <xdr:col>12</xdr:col>
      <xdr:colOff>1537001</xdr:colOff>
      <xdr:row>85</xdr:row>
      <xdr:rowOff>16933</xdr:rowOff>
    </xdr:to>
    <xdr:pic>
      <xdr:nvPicPr>
        <xdr:cNvPr id="407" name="Рисунок 406" descr="20221020_160301.jpg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/>
      </xdr:nvPicPr>
      <xdr:blipFill>
        <a:blip xmlns:r="http://schemas.openxmlformats.org/officeDocument/2006/relationships" r:embed="rId178" cstate="print"/>
        <a:srcRect r="-218" b="23204"/>
        <a:stretch>
          <a:fillRect/>
        </a:stretch>
      </xdr:blipFill>
      <xdr:spPr>
        <a:xfrm>
          <a:off x="10075334" y="73135066"/>
          <a:ext cx="1523999" cy="761365"/>
        </a:xfrm>
        <a:prstGeom prst="rect">
          <a:avLst/>
        </a:prstGeom>
      </xdr:spPr>
    </xdr:pic>
    <xdr:clientData/>
  </xdr:twoCellAnchor>
  <xdr:twoCellAnchor editAs="oneCell">
    <xdr:from>
      <xdr:col>12</xdr:col>
      <xdr:colOff>8467</xdr:colOff>
      <xdr:row>85</xdr:row>
      <xdr:rowOff>33869</xdr:rowOff>
    </xdr:from>
    <xdr:to>
      <xdr:col>12</xdr:col>
      <xdr:colOff>1537001</xdr:colOff>
      <xdr:row>86</xdr:row>
      <xdr:rowOff>2809</xdr:rowOff>
    </xdr:to>
    <xdr:pic>
      <xdr:nvPicPr>
        <xdr:cNvPr id="410" name="Рисунок 409" descr="20221020_160408.jpg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/>
      </xdr:nvPicPr>
      <xdr:blipFill>
        <a:blip xmlns:r="http://schemas.openxmlformats.org/officeDocument/2006/relationships" r:embed="rId179" cstate="print"/>
        <a:srcRect l="3311" r="12452" b="19416"/>
        <a:stretch>
          <a:fillRect/>
        </a:stretch>
      </xdr:blipFill>
      <xdr:spPr>
        <a:xfrm>
          <a:off x="10066867" y="73888602"/>
          <a:ext cx="1532466" cy="651932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16934</xdr:colOff>
      <xdr:row>86</xdr:row>
      <xdr:rowOff>8467</xdr:rowOff>
    </xdr:from>
    <xdr:to>
      <xdr:col>12</xdr:col>
      <xdr:colOff>1579335</xdr:colOff>
      <xdr:row>87</xdr:row>
      <xdr:rowOff>9073</xdr:rowOff>
    </xdr:to>
    <xdr:pic>
      <xdr:nvPicPr>
        <xdr:cNvPr id="412" name="Рисунок 411" descr="20221020_160529.jpg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10075334" y="74557467"/>
          <a:ext cx="1566333" cy="694266"/>
        </a:xfrm>
        <a:prstGeom prst="rect">
          <a:avLst/>
        </a:prstGeom>
      </xdr:spPr>
    </xdr:pic>
    <xdr:clientData/>
  </xdr:twoCellAnchor>
  <xdr:twoCellAnchor editAs="oneCell">
    <xdr:from>
      <xdr:col>11</xdr:col>
      <xdr:colOff>605367</xdr:colOff>
      <xdr:row>86</xdr:row>
      <xdr:rowOff>679149</xdr:rowOff>
    </xdr:from>
    <xdr:to>
      <xdr:col>12</xdr:col>
      <xdr:colOff>1462615</xdr:colOff>
      <xdr:row>88</xdr:row>
      <xdr:rowOff>79610</xdr:rowOff>
    </xdr:to>
    <xdr:pic>
      <xdr:nvPicPr>
        <xdr:cNvPr id="414" name="Рисунок 413" descr="20221020_160625.jpg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0837938" y="55588506"/>
          <a:ext cx="1503134" cy="70674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59267</xdr:rowOff>
    </xdr:from>
    <xdr:to>
      <xdr:col>12</xdr:col>
      <xdr:colOff>1532768</xdr:colOff>
      <xdr:row>89</xdr:row>
      <xdr:rowOff>18475</xdr:rowOff>
    </xdr:to>
    <xdr:pic>
      <xdr:nvPicPr>
        <xdr:cNvPr id="416" name="Рисунок 415" descr="20221020_161206.jp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/>
      </xdr:nvPicPr>
      <xdr:blipFill>
        <a:blip xmlns:r="http://schemas.openxmlformats.org/officeDocument/2006/relationships" r:embed="rId182" cstate="print"/>
        <a:srcRect t="3196" b="8219"/>
        <a:stretch>
          <a:fillRect/>
        </a:stretch>
      </xdr:blipFill>
      <xdr:spPr>
        <a:xfrm>
          <a:off x="10058400" y="75979867"/>
          <a:ext cx="1524000" cy="651933"/>
        </a:xfrm>
        <a:prstGeom prst="rect">
          <a:avLst/>
        </a:prstGeom>
      </xdr:spPr>
    </xdr:pic>
    <xdr:clientData/>
  </xdr:twoCellAnchor>
  <xdr:twoCellAnchor editAs="oneCell">
    <xdr:from>
      <xdr:col>11</xdr:col>
      <xdr:colOff>651934</xdr:colOff>
      <xdr:row>88</xdr:row>
      <xdr:rowOff>677333</xdr:rowOff>
    </xdr:from>
    <xdr:to>
      <xdr:col>12</xdr:col>
      <xdr:colOff>1554571</xdr:colOff>
      <xdr:row>89</xdr:row>
      <xdr:rowOff>642699</xdr:rowOff>
    </xdr:to>
    <xdr:pic>
      <xdr:nvPicPr>
        <xdr:cNvPr id="417" name="Рисунок 416" descr="20221020_160310.jpg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/>
      </xdr:nvPicPr>
      <xdr:blipFill rotWithShape="1">
        <a:blip xmlns:r="http://schemas.openxmlformats.org/officeDocument/2006/relationships" r:embed="rId183" cstate="print"/>
        <a:srcRect l="24722" t="5883" r="44687" b="49902"/>
        <a:stretch/>
      </xdr:blipFill>
      <xdr:spPr bwMode="auto">
        <a:xfrm>
          <a:off x="10016067" y="76597933"/>
          <a:ext cx="1574800" cy="673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33865</xdr:colOff>
      <xdr:row>90</xdr:row>
      <xdr:rowOff>1</xdr:rowOff>
    </xdr:from>
    <xdr:to>
      <xdr:col>12</xdr:col>
      <xdr:colOff>1621666</xdr:colOff>
      <xdr:row>91</xdr:row>
      <xdr:rowOff>3526</xdr:rowOff>
    </xdr:to>
    <xdr:pic>
      <xdr:nvPicPr>
        <xdr:cNvPr id="418" name="Рисунок 417" descr="20221020_161250.jpg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/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32" t="9684" r="43236" b="2200"/>
        <a:stretch>
          <a:fillRect/>
        </a:stretch>
      </xdr:blipFill>
      <xdr:spPr>
        <a:xfrm rot="5400000">
          <a:off x="10549466" y="76835000"/>
          <a:ext cx="677332" cy="1591733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16933</xdr:colOff>
      <xdr:row>91</xdr:row>
      <xdr:rowOff>25400</xdr:rowOff>
    </xdr:from>
    <xdr:to>
      <xdr:col>12</xdr:col>
      <xdr:colOff>1562401</xdr:colOff>
      <xdr:row>92</xdr:row>
      <xdr:rowOff>24631</xdr:rowOff>
    </xdr:to>
    <xdr:pic>
      <xdr:nvPicPr>
        <xdr:cNvPr id="420" name="Рисунок 419" descr="20221020_162120.jpg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/>
      </xdr:nvPicPr>
      <xdr:blipFill>
        <a:blip xmlns:r="http://schemas.openxmlformats.org/officeDocument/2006/relationships" r:embed="rId185" cstate="print"/>
        <a:srcRect b="16774"/>
        <a:stretch>
          <a:fillRect/>
        </a:stretch>
      </xdr:blipFill>
      <xdr:spPr>
        <a:xfrm>
          <a:off x="10075333" y="78003400"/>
          <a:ext cx="1549400" cy="694267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25401</xdr:colOff>
      <xdr:row>241</xdr:row>
      <xdr:rowOff>25399</xdr:rowOff>
    </xdr:from>
    <xdr:to>
      <xdr:col>12</xdr:col>
      <xdr:colOff>1394733</xdr:colOff>
      <xdr:row>241</xdr:row>
      <xdr:rowOff>599591</xdr:rowOff>
    </xdr:to>
    <xdr:pic>
      <xdr:nvPicPr>
        <xdr:cNvPr id="397" name="Рисунок 396" descr="20221020_141430.jpg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/>
      </xdr:nvPicPr>
      <xdr:blipFill>
        <a:blip xmlns:r="http://schemas.openxmlformats.org/officeDocument/2006/relationships" r:embed="rId186" cstate="print"/>
        <a:srcRect l="7363" r="4780" b="12321"/>
        <a:stretch>
          <a:fillRect/>
        </a:stretch>
      </xdr:blipFill>
      <xdr:spPr>
        <a:xfrm>
          <a:off x="10582276" y="177031649"/>
          <a:ext cx="1369332" cy="574192"/>
        </a:xfrm>
        <a:prstGeom prst="rect">
          <a:avLst/>
        </a:prstGeom>
      </xdr:spPr>
    </xdr:pic>
    <xdr:clientData/>
  </xdr:twoCellAnchor>
  <xdr:twoCellAnchor>
    <xdr:from>
      <xdr:col>12</xdr:col>
      <xdr:colOff>64213</xdr:colOff>
      <xdr:row>16</xdr:row>
      <xdr:rowOff>19236</xdr:rowOff>
    </xdr:from>
    <xdr:to>
      <xdr:col>12</xdr:col>
      <xdr:colOff>1424569</xdr:colOff>
      <xdr:row>16</xdr:row>
      <xdr:rowOff>834776</xdr:rowOff>
    </xdr:to>
    <xdr:pic>
      <xdr:nvPicPr>
        <xdr:cNvPr id="289" name="Рисунок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6629" y="5338253"/>
          <a:ext cx="1360356" cy="815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34018</xdr:colOff>
      <xdr:row>234</xdr:row>
      <xdr:rowOff>34018</xdr:rowOff>
    </xdr:from>
    <xdr:to>
      <xdr:col>12</xdr:col>
      <xdr:colOff>1478644</xdr:colOff>
      <xdr:row>234</xdr:row>
      <xdr:rowOff>669018</xdr:rowOff>
    </xdr:to>
    <xdr:pic>
      <xdr:nvPicPr>
        <xdr:cNvPr id="217" name="Рисунок 216" descr="E:\Андрей\1.jpe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r:link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375" y="164825589"/>
          <a:ext cx="1444626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45358</xdr:colOff>
      <xdr:row>175</xdr:row>
      <xdr:rowOff>22680</xdr:rowOff>
    </xdr:from>
    <xdr:to>
      <xdr:col>12</xdr:col>
      <xdr:colOff>1440090</xdr:colOff>
      <xdr:row>175</xdr:row>
      <xdr:rowOff>566966</xdr:rowOff>
    </xdr:to>
    <xdr:pic>
      <xdr:nvPicPr>
        <xdr:cNvPr id="220" name="Рисунок 219" descr="E:\Андрей\Письма ответы\Неиспользуемые объекты\Фото 1\image11а.jpe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r:link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2233" y="119334644"/>
          <a:ext cx="1394732" cy="54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173</xdr:row>
      <xdr:rowOff>0</xdr:rowOff>
    </xdr:from>
    <xdr:to>
      <xdr:col>12</xdr:col>
      <xdr:colOff>1474107</xdr:colOff>
      <xdr:row>173</xdr:row>
      <xdr:rowOff>759733</xdr:rowOff>
    </xdr:to>
    <xdr:pic>
      <xdr:nvPicPr>
        <xdr:cNvPr id="255" name="Рисунок 254" descr="E:\Андрей\Письма ответы\Неиспользуемые объекты\Фото 1\image8а.jpe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r:link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19119196"/>
          <a:ext cx="1474107" cy="759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170</xdr:row>
      <xdr:rowOff>45356</xdr:rowOff>
    </xdr:from>
    <xdr:to>
      <xdr:col>12</xdr:col>
      <xdr:colOff>1440089</xdr:colOff>
      <xdr:row>170</xdr:row>
      <xdr:rowOff>805089</xdr:rowOff>
    </xdr:to>
    <xdr:pic>
      <xdr:nvPicPr>
        <xdr:cNvPr id="256" name="Рисунок 255" descr="E:\Андрей\Письма ответы\Неиспользуемые объекты\Фото 1\image3а.jpeg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r:link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19164552"/>
          <a:ext cx="1440089" cy="759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171</xdr:row>
      <xdr:rowOff>0</xdr:rowOff>
    </xdr:from>
    <xdr:to>
      <xdr:col>12</xdr:col>
      <xdr:colOff>1451429</xdr:colOff>
      <xdr:row>171</xdr:row>
      <xdr:rowOff>771072</xdr:rowOff>
    </xdr:to>
    <xdr:pic>
      <xdr:nvPicPr>
        <xdr:cNvPr id="228" name="Рисунок 227" descr="E:\Андрей\Письма ответы\Неиспользуемые объекты\Фото 2\image18.jpe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r:link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20139732"/>
          <a:ext cx="1451429" cy="77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566965</xdr:colOff>
      <xdr:row>171</xdr:row>
      <xdr:rowOff>793749</xdr:rowOff>
    </xdr:from>
    <xdr:to>
      <xdr:col>12</xdr:col>
      <xdr:colOff>1440089</xdr:colOff>
      <xdr:row>172</xdr:row>
      <xdr:rowOff>771071</xdr:rowOff>
    </xdr:to>
    <xdr:pic>
      <xdr:nvPicPr>
        <xdr:cNvPr id="262" name="Рисунок 261" descr="E:\Андрей\Письма ответы\Неиспользуемые объекты\Фото 1\image17а.jpeg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r:link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197" y="120933481"/>
          <a:ext cx="1462767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68036</xdr:colOff>
      <xdr:row>169</xdr:row>
      <xdr:rowOff>34017</xdr:rowOff>
    </xdr:from>
    <xdr:to>
      <xdr:col>12</xdr:col>
      <xdr:colOff>1428750</xdr:colOff>
      <xdr:row>170</xdr:row>
      <xdr:rowOff>0</xdr:rowOff>
    </xdr:to>
    <xdr:pic>
      <xdr:nvPicPr>
        <xdr:cNvPr id="267" name="Рисунок 266" descr="E:\Андрей\Письма ответы\Неиспользуемые объекты\Фото 2\image11.jpeg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r:link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4911" y="119357321"/>
          <a:ext cx="1360714" cy="612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11339</xdr:colOff>
      <xdr:row>168</xdr:row>
      <xdr:rowOff>90714</xdr:rowOff>
    </xdr:from>
    <xdr:to>
      <xdr:col>12</xdr:col>
      <xdr:colOff>1428750</xdr:colOff>
      <xdr:row>168</xdr:row>
      <xdr:rowOff>771071</xdr:rowOff>
    </xdr:to>
    <xdr:pic>
      <xdr:nvPicPr>
        <xdr:cNvPr id="271" name="Рисунок 270" descr="E:\Андрей\Письма ответы\Неиспользуемые объекты\Фото 2\image15.jpeg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r:link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14" y="119221250"/>
          <a:ext cx="1417411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81642</xdr:colOff>
      <xdr:row>17</xdr:row>
      <xdr:rowOff>72572</xdr:rowOff>
    </xdr:from>
    <xdr:to>
      <xdr:col>12</xdr:col>
      <xdr:colOff>1387928</xdr:colOff>
      <xdr:row>17</xdr:row>
      <xdr:rowOff>789214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1999" y="7375072"/>
          <a:ext cx="1306286" cy="716642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242</xdr:row>
      <xdr:rowOff>0</xdr:rowOff>
    </xdr:from>
    <xdr:to>
      <xdr:col>12</xdr:col>
      <xdr:colOff>121920</xdr:colOff>
      <xdr:row>242</xdr:row>
      <xdr:rowOff>0</xdr:rowOff>
    </xdr:to>
    <xdr:pic>
      <xdr:nvPicPr>
        <xdr:cNvPr id="222" name="Picture 12" descr="КафебарВитражвидсостороныBMP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 bwMode="auto">
        <a:xfrm>
          <a:off x="10840357" y="171921714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18</xdr:row>
      <xdr:rowOff>45358</xdr:rowOff>
    </xdr:from>
    <xdr:to>
      <xdr:col>12</xdr:col>
      <xdr:colOff>1460500</xdr:colOff>
      <xdr:row>18</xdr:row>
      <xdr:rowOff>635000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0840357" y="8753929"/>
          <a:ext cx="1460500" cy="589642"/>
        </a:xfrm>
        <a:prstGeom prst="rect">
          <a:avLst/>
        </a:prstGeom>
      </xdr:spPr>
    </xdr:pic>
    <xdr:clientData/>
  </xdr:twoCellAnchor>
  <xdr:twoCellAnchor>
    <xdr:from>
      <xdr:col>12</xdr:col>
      <xdr:colOff>18144</xdr:colOff>
      <xdr:row>19</xdr:row>
      <xdr:rowOff>18143</xdr:rowOff>
    </xdr:from>
    <xdr:to>
      <xdr:col>12</xdr:col>
      <xdr:colOff>1451430</xdr:colOff>
      <xdr:row>19</xdr:row>
      <xdr:rowOff>689429</xdr:rowOff>
    </xdr:to>
    <xdr:pic>
      <xdr:nvPicPr>
        <xdr:cNvPr id="294" name="Рисунок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1" y="9506857"/>
          <a:ext cx="1433286" cy="671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18143</xdr:colOff>
      <xdr:row>174</xdr:row>
      <xdr:rowOff>9071</xdr:rowOff>
    </xdr:from>
    <xdr:to>
      <xdr:col>12</xdr:col>
      <xdr:colOff>1524000</xdr:colOff>
      <xdr:row>174</xdr:row>
      <xdr:rowOff>722991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120949357"/>
          <a:ext cx="1505857" cy="713920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20</xdr:row>
      <xdr:rowOff>45356</xdr:rowOff>
    </xdr:from>
    <xdr:to>
      <xdr:col>12</xdr:col>
      <xdr:colOff>1478644</xdr:colOff>
      <xdr:row>20</xdr:row>
      <xdr:rowOff>699087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4071" y="8889999"/>
          <a:ext cx="1514930" cy="653731"/>
        </a:xfrm>
        <a:prstGeom prst="rect">
          <a:avLst/>
        </a:prstGeom>
      </xdr:spPr>
    </xdr:pic>
    <xdr:clientData/>
  </xdr:twoCellAnchor>
  <xdr:twoCellAnchor editAs="oneCell">
    <xdr:from>
      <xdr:col>11</xdr:col>
      <xdr:colOff>589642</xdr:colOff>
      <xdr:row>21</xdr:row>
      <xdr:rowOff>45357</xdr:rowOff>
    </xdr:from>
    <xdr:to>
      <xdr:col>12</xdr:col>
      <xdr:colOff>1512658</xdr:colOff>
      <xdr:row>21</xdr:row>
      <xdr:rowOff>680357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213" y="11003643"/>
          <a:ext cx="1487713" cy="63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117929</xdr:colOff>
      <xdr:row>23</xdr:row>
      <xdr:rowOff>27213</xdr:rowOff>
    </xdr:from>
    <xdr:to>
      <xdr:col>12</xdr:col>
      <xdr:colOff>1560286</xdr:colOff>
      <xdr:row>23</xdr:row>
      <xdr:rowOff>707572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8286" y="12400642"/>
          <a:ext cx="1442357" cy="689429"/>
        </a:xfrm>
        <a:prstGeom prst="rect">
          <a:avLst/>
        </a:prstGeom>
      </xdr:spPr>
    </xdr:pic>
    <xdr:clientData/>
  </xdr:twoCellAnchor>
  <xdr:twoCellAnchor editAs="oneCell">
    <xdr:from>
      <xdr:col>12</xdr:col>
      <xdr:colOff>54429</xdr:colOff>
      <xdr:row>22</xdr:row>
      <xdr:rowOff>36287</xdr:rowOff>
    </xdr:from>
    <xdr:to>
      <xdr:col>12</xdr:col>
      <xdr:colOff>1369785</xdr:colOff>
      <xdr:row>22</xdr:row>
      <xdr:rowOff>662215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4786" y="11702144"/>
          <a:ext cx="1315356" cy="625928"/>
        </a:xfrm>
        <a:prstGeom prst="rect">
          <a:avLst/>
        </a:prstGeom>
      </xdr:spPr>
    </xdr:pic>
    <xdr:clientData/>
  </xdr:twoCellAnchor>
  <xdr:twoCellAnchor editAs="oneCell">
    <xdr:from>
      <xdr:col>12</xdr:col>
      <xdr:colOff>63501</xdr:colOff>
      <xdr:row>31</xdr:row>
      <xdr:rowOff>1170214</xdr:rowOff>
    </xdr:from>
    <xdr:to>
      <xdr:col>12</xdr:col>
      <xdr:colOff>1360714</xdr:colOff>
      <xdr:row>32</xdr:row>
      <xdr:rowOff>680358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3858" y="18723428"/>
          <a:ext cx="1297213" cy="69850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24</xdr:row>
      <xdr:rowOff>1</xdr:rowOff>
    </xdr:from>
    <xdr:to>
      <xdr:col>12</xdr:col>
      <xdr:colOff>1496786</xdr:colOff>
      <xdr:row>24</xdr:row>
      <xdr:rowOff>798287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0357" y="13126358"/>
          <a:ext cx="1496786" cy="798286"/>
        </a:xfrm>
        <a:prstGeom prst="rect">
          <a:avLst/>
        </a:prstGeom>
      </xdr:spPr>
    </xdr:pic>
    <xdr:clientData/>
  </xdr:twoCellAnchor>
  <xdr:twoCellAnchor editAs="oneCell">
    <xdr:from>
      <xdr:col>11</xdr:col>
      <xdr:colOff>391583</xdr:colOff>
      <xdr:row>151</xdr:row>
      <xdr:rowOff>0</xdr:rowOff>
    </xdr:from>
    <xdr:to>
      <xdr:col>12</xdr:col>
      <xdr:colOff>1474108</xdr:colOff>
      <xdr:row>155</xdr:row>
      <xdr:rowOff>18897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7A2F085-5788-54E9-454F-5CF9A2A83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851" t="17112" r="66790" b="38068"/>
        <a:stretch/>
      </xdr:blipFill>
      <xdr:spPr>
        <a:xfrm>
          <a:off x="10358815" y="102824643"/>
          <a:ext cx="1672168" cy="778630"/>
        </a:xfrm>
        <a:prstGeom prst="rect">
          <a:avLst/>
        </a:prstGeom>
      </xdr:spPr>
    </xdr:pic>
    <xdr:clientData/>
  </xdr:twoCellAnchor>
  <xdr:twoCellAnchor editAs="oneCell">
    <xdr:from>
      <xdr:col>12</xdr:col>
      <xdr:colOff>9971</xdr:colOff>
      <xdr:row>133</xdr:row>
      <xdr:rowOff>0</xdr:rowOff>
    </xdr:from>
    <xdr:to>
      <xdr:col>12</xdr:col>
      <xdr:colOff>1464469</xdr:colOff>
      <xdr:row>133</xdr:row>
      <xdr:rowOff>916782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7AB1D69-69C6-A746-0949-E7C0EEAB2C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" t="17112" r="46138" b="39605"/>
        <a:stretch/>
      </xdr:blipFill>
      <xdr:spPr>
        <a:xfrm>
          <a:off x="10570815" y="89237344"/>
          <a:ext cx="1454498" cy="916782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52388</xdr:colOff>
      <xdr:row>146</xdr:row>
      <xdr:rowOff>9524</xdr:rowOff>
    </xdr:from>
    <xdr:to>
      <xdr:col>12</xdr:col>
      <xdr:colOff>1409700</xdr:colOff>
      <xdr:row>146</xdr:row>
      <xdr:rowOff>771525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601436A-621D-4D53-346B-B6DBB8F591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00" r="66362" b="57000"/>
        <a:stretch/>
      </xdr:blipFill>
      <xdr:spPr>
        <a:xfrm>
          <a:off x="10596563" y="100450649"/>
          <a:ext cx="1357312" cy="762001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23811</xdr:colOff>
      <xdr:row>158</xdr:row>
      <xdr:rowOff>35719</xdr:rowOff>
    </xdr:from>
    <xdr:to>
      <xdr:col>12</xdr:col>
      <xdr:colOff>1485446</xdr:colOff>
      <xdr:row>158</xdr:row>
      <xdr:rowOff>738187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7820BA04-AD9B-833F-F625-588EC3D2E3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" t="17718" r="66654" b="59466"/>
        <a:stretch/>
      </xdr:blipFill>
      <xdr:spPr>
        <a:xfrm>
          <a:off x="10580686" y="105978665"/>
          <a:ext cx="1461635" cy="702468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23811</xdr:colOff>
      <xdr:row>160</xdr:row>
      <xdr:rowOff>759731</xdr:rowOff>
    </xdr:from>
    <xdr:to>
      <xdr:col>12</xdr:col>
      <xdr:colOff>1553482</xdr:colOff>
      <xdr:row>162</xdr:row>
      <xdr:rowOff>3607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7C29710-BAF1-7AE8-A459-E1ED66F9AD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" t="19260" r="60648" b="26485"/>
        <a:stretch/>
      </xdr:blipFill>
      <xdr:spPr>
        <a:xfrm>
          <a:off x="10580686" y="108199463"/>
          <a:ext cx="1529671" cy="9220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162</xdr:row>
      <xdr:rowOff>0</xdr:rowOff>
    </xdr:from>
    <xdr:to>
      <xdr:col>12</xdr:col>
      <xdr:colOff>1542143</xdr:colOff>
      <xdr:row>163</xdr:row>
      <xdr:rowOff>0</xdr:rowOff>
    </xdr:to>
    <xdr:pic>
      <xdr:nvPicPr>
        <xdr:cNvPr id="28" name="Picture 276" descr="1661841132339">
          <a:extLst>
            <a:ext uri="{FF2B5EF4-FFF2-40B4-BE49-F238E27FC236}">
              <a16:creationId xmlns:a16="http://schemas.microsoft.com/office/drawing/2014/main" id="{5109D8FB-B649-4D7B-BF64-65052300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09117946"/>
          <a:ext cx="1542143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589642</xdr:colOff>
      <xdr:row>163</xdr:row>
      <xdr:rowOff>0</xdr:rowOff>
    </xdr:from>
    <xdr:to>
      <xdr:col>12</xdr:col>
      <xdr:colOff>1576160</xdr:colOff>
      <xdr:row>163</xdr:row>
      <xdr:rowOff>895804</xdr:rowOff>
    </xdr:to>
    <xdr:pic>
      <xdr:nvPicPr>
        <xdr:cNvPr id="29" name="Picture 285" descr="1661846933954">
          <a:extLst>
            <a:ext uri="{FF2B5EF4-FFF2-40B4-BE49-F238E27FC236}">
              <a16:creationId xmlns:a16="http://schemas.microsoft.com/office/drawing/2014/main" id="{3B7C8A19-9682-4D59-A89F-40E58AACF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4" y="110036429"/>
          <a:ext cx="1576161" cy="89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589642</xdr:colOff>
      <xdr:row>163</xdr:row>
      <xdr:rowOff>918481</xdr:rowOff>
    </xdr:from>
    <xdr:to>
      <xdr:col>12</xdr:col>
      <xdr:colOff>1564820</xdr:colOff>
      <xdr:row>164</xdr:row>
      <xdr:rowOff>884464</xdr:rowOff>
    </xdr:to>
    <xdr:pic>
      <xdr:nvPicPr>
        <xdr:cNvPr id="30" name="Picture 265" descr="1661334605800">
          <a:extLst>
            <a:ext uri="{FF2B5EF4-FFF2-40B4-BE49-F238E27FC236}">
              <a16:creationId xmlns:a16="http://schemas.microsoft.com/office/drawing/2014/main" id="{B7223A0D-2A42-4E0D-99DF-B40815C76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4" y="110954910"/>
          <a:ext cx="1564821" cy="884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165</xdr:row>
      <xdr:rowOff>0</xdr:rowOff>
    </xdr:from>
    <xdr:to>
      <xdr:col>12</xdr:col>
      <xdr:colOff>1553482</xdr:colOff>
      <xdr:row>165</xdr:row>
      <xdr:rowOff>809625</xdr:rowOff>
    </xdr:to>
    <xdr:pic>
      <xdr:nvPicPr>
        <xdr:cNvPr id="32" name="Picture 272" descr="1661858872624">
          <a:extLst>
            <a:ext uri="{FF2B5EF4-FFF2-40B4-BE49-F238E27FC236}">
              <a16:creationId xmlns:a16="http://schemas.microsoft.com/office/drawing/2014/main" id="{762A7BD5-6179-4FD3-9D6D-775B828D1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11873393"/>
          <a:ext cx="1553482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166</xdr:row>
      <xdr:rowOff>0</xdr:rowOff>
    </xdr:from>
    <xdr:to>
      <xdr:col>12</xdr:col>
      <xdr:colOff>1564821</xdr:colOff>
      <xdr:row>166</xdr:row>
      <xdr:rowOff>884464</xdr:rowOff>
    </xdr:to>
    <xdr:pic>
      <xdr:nvPicPr>
        <xdr:cNvPr id="33" name="Picture 265" descr="1661334605800">
          <a:extLst>
            <a:ext uri="{FF2B5EF4-FFF2-40B4-BE49-F238E27FC236}">
              <a16:creationId xmlns:a16="http://schemas.microsoft.com/office/drawing/2014/main" id="{27737CBB-C2F1-4F5D-ACDC-87A8B488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17259554"/>
          <a:ext cx="1564821" cy="884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AV377"/>
  <sheetViews>
    <sheetView tabSelected="1" view="pageBreakPreview" topLeftCell="A6" zoomScale="84" zoomScaleNormal="84" zoomScaleSheetLayoutView="84" workbookViewId="0">
      <selection activeCell="A4" sqref="A1:XFD4"/>
    </sheetView>
  </sheetViews>
  <sheetFormatPr defaultColWidth="9.140625" defaultRowHeight="15.75" x14ac:dyDescent="0.2"/>
  <cols>
    <col min="1" max="1" width="4.85546875" style="5" customWidth="1"/>
    <col min="2" max="2" width="4.85546875" style="174" customWidth="1"/>
    <col min="3" max="3" width="29.140625" style="169" customWidth="1"/>
    <col min="4" max="4" width="32.28515625" style="178" hidden="1" customWidth="1"/>
    <col min="5" max="5" width="19.42578125" style="175" customWidth="1"/>
    <col min="6" max="6" width="20.7109375" style="175" customWidth="1"/>
    <col min="7" max="7" width="16" style="175" customWidth="1"/>
    <col min="8" max="8" width="8.42578125" style="169" customWidth="1"/>
    <col min="9" max="9" width="9.5703125" style="176" customWidth="1"/>
    <col min="10" max="11" width="18.140625" style="250" customWidth="1"/>
    <col min="12" max="12" width="8.85546875" style="250" customWidth="1"/>
    <col min="13" max="13" width="30.85546875" style="176" customWidth="1"/>
    <col min="14" max="14" width="14.140625" style="169" customWidth="1"/>
    <col min="15" max="15" width="4.5703125" style="169" hidden="1" customWidth="1"/>
    <col min="16" max="16" width="15.28515625" style="232" hidden="1" customWidth="1"/>
    <col min="17" max="17" width="18.85546875" style="233" hidden="1" customWidth="1"/>
    <col min="18" max="18" width="0" style="177" hidden="1" customWidth="1"/>
    <col min="19" max="19" width="13.7109375" style="169" hidden="1" customWidth="1"/>
    <col min="20" max="20" width="12.5703125" style="169" hidden="1" customWidth="1"/>
    <col min="21" max="32" width="9.140625" style="169"/>
    <col min="33" max="16384" width="9.140625" style="1"/>
  </cols>
  <sheetData>
    <row r="1" spans="1:48" ht="20.45" hidden="1" customHeight="1" x14ac:dyDescent="0.2">
      <c r="A1" s="9"/>
      <c r="B1" s="9"/>
      <c r="C1" s="7"/>
      <c r="E1" s="13"/>
      <c r="F1" s="13"/>
      <c r="G1" s="13"/>
      <c r="H1" s="9"/>
      <c r="I1" s="9"/>
      <c r="J1" s="161"/>
      <c r="K1" s="162"/>
      <c r="L1" s="161"/>
      <c r="M1" s="219"/>
      <c r="N1" s="10"/>
      <c r="O1" s="12"/>
      <c r="P1" s="222"/>
      <c r="Q1" s="223"/>
      <c r="R1" s="153"/>
      <c r="S1" s="9"/>
      <c r="T1" s="7"/>
      <c r="U1" s="7"/>
      <c r="V1" s="7"/>
      <c r="W1" s="7"/>
      <c r="X1" s="9"/>
      <c r="Y1" s="9"/>
      <c r="Z1" s="9"/>
      <c r="AA1" s="9"/>
      <c r="AB1" s="9"/>
      <c r="AC1" s="7"/>
      <c r="AD1" s="7"/>
      <c r="AE1" s="7"/>
      <c r="AF1" s="7"/>
      <c r="AG1" s="9"/>
      <c r="AH1" s="9"/>
      <c r="AI1" s="9"/>
      <c r="AJ1" s="9"/>
      <c r="AK1" s="9"/>
      <c r="AL1" s="7"/>
      <c r="AM1" s="8"/>
      <c r="AN1" s="7"/>
      <c r="AO1" s="7"/>
      <c r="AP1" s="9"/>
      <c r="AQ1" s="9"/>
      <c r="AR1" s="9"/>
      <c r="AS1" s="9"/>
      <c r="AT1" s="9"/>
      <c r="AU1" s="7"/>
      <c r="AV1" s="8"/>
    </row>
    <row r="2" spans="1:48" ht="31.9" hidden="1" customHeight="1" x14ac:dyDescent="0.2">
      <c r="A2" s="9" t="s">
        <v>509</v>
      </c>
      <c r="B2" s="9"/>
      <c r="C2" s="7"/>
      <c r="E2" s="13"/>
      <c r="F2" s="13"/>
      <c r="G2" s="13"/>
      <c r="H2" s="9"/>
      <c r="I2" s="9"/>
      <c r="J2" s="161"/>
      <c r="K2" s="162"/>
      <c r="L2" s="161"/>
      <c r="M2" s="279" t="s">
        <v>502</v>
      </c>
      <c r="N2" s="10"/>
      <c r="O2" s="12"/>
      <c r="P2" s="222"/>
      <c r="Q2" s="223"/>
      <c r="R2" s="153"/>
      <c r="S2" s="9"/>
      <c r="T2" s="7"/>
      <c r="U2" s="7"/>
      <c r="V2" s="7"/>
      <c r="W2" s="7"/>
      <c r="X2" s="9"/>
      <c r="Y2" s="9"/>
      <c r="Z2" s="9"/>
      <c r="AA2" s="9"/>
      <c r="AB2" s="9"/>
      <c r="AC2" s="7"/>
      <c r="AD2" s="7"/>
      <c r="AE2" s="7"/>
      <c r="AF2" s="7"/>
      <c r="AG2" s="9"/>
      <c r="AH2" s="9"/>
      <c r="AI2" s="9"/>
      <c r="AJ2" s="9"/>
      <c r="AK2" s="9"/>
      <c r="AL2" s="7"/>
      <c r="AM2" s="8"/>
      <c r="AN2" s="7"/>
      <c r="AO2" s="7"/>
      <c r="AP2" s="9"/>
      <c r="AQ2" s="9"/>
      <c r="AR2" s="9"/>
      <c r="AS2" s="9"/>
      <c r="AT2" s="9"/>
      <c r="AU2" s="7"/>
      <c r="AV2" s="8"/>
    </row>
    <row r="3" spans="1:48" ht="107.45" hidden="1" customHeight="1" x14ac:dyDescent="0.2">
      <c r="A3" s="9"/>
      <c r="B3" s="9"/>
      <c r="C3" s="7"/>
      <c r="E3" s="13"/>
      <c r="F3" s="13"/>
      <c r="G3" s="13"/>
      <c r="H3" s="9"/>
      <c r="I3" s="9"/>
      <c r="J3" s="161"/>
      <c r="K3" s="162"/>
      <c r="L3" s="161"/>
      <c r="M3" s="279" t="s">
        <v>501</v>
      </c>
      <c r="N3" s="10"/>
      <c r="O3" s="12"/>
      <c r="P3" s="222"/>
      <c r="Q3" s="223"/>
      <c r="R3" s="153"/>
      <c r="S3" s="9"/>
      <c r="T3" s="7"/>
      <c r="U3" s="7"/>
      <c r="V3" s="7"/>
      <c r="W3" s="7"/>
      <c r="X3" s="9"/>
      <c r="Y3" s="9"/>
      <c r="Z3" s="9"/>
      <c r="AA3" s="9"/>
      <c r="AB3" s="9"/>
      <c r="AC3" s="7"/>
      <c r="AD3" s="7"/>
      <c r="AE3" s="7"/>
      <c r="AF3" s="7"/>
      <c r="AG3" s="9"/>
      <c r="AH3" s="9"/>
      <c r="AI3" s="9"/>
      <c r="AJ3" s="9"/>
      <c r="AK3" s="9"/>
      <c r="AL3" s="7"/>
      <c r="AM3" s="8"/>
      <c r="AN3" s="7"/>
      <c r="AO3" s="7"/>
      <c r="AP3" s="9"/>
      <c r="AQ3" s="9"/>
      <c r="AR3" s="9"/>
      <c r="AS3" s="9"/>
      <c r="AT3" s="9"/>
      <c r="AU3" s="7"/>
      <c r="AV3" s="8"/>
    </row>
    <row r="4" spans="1:48" ht="33" hidden="1" customHeight="1" x14ac:dyDescent="0.2">
      <c r="A4" s="9"/>
      <c r="B4" s="9"/>
      <c r="C4" s="7"/>
      <c r="E4" s="13"/>
      <c r="F4" s="13"/>
      <c r="G4" s="13"/>
      <c r="H4" s="9"/>
      <c r="I4" s="9"/>
      <c r="J4" s="161"/>
      <c r="K4" s="162"/>
      <c r="L4" s="161"/>
      <c r="M4" s="280" t="s">
        <v>503</v>
      </c>
      <c r="N4" s="10"/>
      <c r="O4" s="12"/>
      <c r="P4" s="222"/>
      <c r="Q4" s="223"/>
      <c r="R4" s="153"/>
      <c r="S4" s="9"/>
      <c r="T4" s="7"/>
      <c r="U4" s="7"/>
      <c r="V4" s="7"/>
      <c r="W4" s="7"/>
      <c r="X4" s="9"/>
      <c r="Y4" s="9"/>
      <c r="Z4" s="9"/>
      <c r="AA4" s="9"/>
      <c r="AB4" s="9"/>
      <c r="AC4" s="7"/>
      <c r="AD4" s="7"/>
      <c r="AE4" s="7"/>
      <c r="AF4" s="7"/>
      <c r="AG4" s="9"/>
      <c r="AH4" s="9"/>
      <c r="AI4" s="9"/>
      <c r="AJ4" s="9"/>
      <c r="AK4" s="9"/>
      <c r="AL4" s="7"/>
      <c r="AM4" s="8"/>
      <c r="AN4" s="7"/>
      <c r="AO4" s="7"/>
      <c r="AP4" s="9"/>
      <c r="AQ4" s="9"/>
      <c r="AR4" s="9"/>
      <c r="AS4" s="9"/>
      <c r="AT4" s="9"/>
      <c r="AU4" s="7"/>
      <c r="AV4" s="8"/>
    </row>
    <row r="5" spans="1:48" ht="1.9" hidden="1" customHeight="1" x14ac:dyDescent="0.2">
      <c r="A5" s="9"/>
      <c r="B5" s="9"/>
      <c r="C5" s="7"/>
      <c r="E5" s="13"/>
      <c r="F5" s="13"/>
      <c r="G5" s="13"/>
      <c r="H5" s="9"/>
      <c r="I5" s="9"/>
      <c r="J5" s="161"/>
      <c r="K5" s="162"/>
      <c r="L5" s="161"/>
      <c r="M5" s="281"/>
      <c r="N5" s="10"/>
      <c r="O5" s="12"/>
      <c r="P5" s="222"/>
      <c r="Q5" s="223"/>
      <c r="R5" s="153"/>
      <c r="S5" s="9"/>
      <c r="T5" s="7"/>
      <c r="U5" s="7"/>
      <c r="V5" s="7"/>
      <c r="W5" s="7"/>
      <c r="X5" s="9"/>
      <c r="Y5" s="9"/>
      <c r="Z5" s="9"/>
      <c r="AA5" s="9"/>
      <c r="AB5" s="9"/>
      <c r="AC5" s="7"/>
      <c r="AD5" s="7"/>
      <c r="AE5" s="7"/>
      <c r="AF5" s="7"/>
      <c r="AG5" s="9"/>
      <c r="AH5" s="9"/>
      <c r="AI5" s="9"/>
      <c r="AJ5" s="9"/>
      <c r="AK5" s="9"/>
      <c r="AL5" s="7"/>
      <c r="AM5" s="8"/>
      <c r="AN5" s="7"/>
      <c r="AO5" s="7"/>
      <c r="AP5" s="9"/>
      <c r="AQ5" s="9"/>
      <c r="AR5" s="9"/>
      <c r="AS5" s="9"/>
      <c r="AT5" s="9"/>
      <c r="AU5" s="7"/>
      <c r="AV5" s="8"/>
    </row>
    <row r="6" spans="1:48" s="14" customFormat="1" ht="18.75" x14ac:dyDescent="0.2">
      <c r="A6" s="18"/>
      <c r="B6" s="18"/>
      <c r="C6" s="17" t="s">
        <v>446</v>
      </c>
      <c r="D6" s="16"/>
      <c r="E6" s="26"/>
      <c r="F6" s="26"/>
      <c r="G6" s="26"/>
      <c r="H6" s="18"/>
      <c r="I6" s="18"/>
      <c r="J6" s="234"/>
      <c r="K6" s="235"/>
      <c r="L6" s="234"/>
      <c r="M6" s="194"/>
      <c r="N6" s="220"/>
      <c r="O6" s="18"/>
      <c r="P6" s="224"/>
      <c r="Q6" s="225"/>
      <c r="R6" s="154"/>
      <c r="S6" s="18"/>
      <c r="T6" s="15"/>
      <c r="U6" s="15"/>
      <c r="V6" s="15"/>
      <c r="W6" s="15"/>
      <c r="X6" s="18"/>
      <c r="Y6" s="18"/>
      <c r="Z6" s="18"/>
      <c r="AA6" s="18"/>
      <c r="AB6" s="18"/>
      <c r="AC6" s="15"/>
      <c r="AD6" s="15"/>
      <c r="AE6" s="15"/>
      <c r="AF6" s="15"/>
      <c r="AG6" s="18"/>
      <c r="AH6" s="18"/>
      <c r="AI6" s="18"/>
      <c r="AJ6" s="18"/>
      <c r="AK6" s="18"/>
      <c r="AL6" s="15"/>
      <c r="AM6" s="16"/>
      <c r="AN6" s="15"/>
      <c r="AO6" s="15"/>
      <c r="AP6" s="18"/>
      <c r="AQ6" s="18"/>
      <c r="AR6" s="18"/>
      <c r="AS6" s="18"/>
      <c r="AT6" s="18"/>
      <c r="AU6" s="15"/>
      <c r="AV6" s="16"/>
    </row>
    <row r="7" spans="1:48" s="14" customFormat="1" x14ac:dyDescent="0.2">
      <c r="A7" s="18"/>
      <c r="B7" s="18"/>
      <c r="C7" s="17" t="s">
        <v>447</v>
      </c>
      <c r="D7" s="16"/>
      <c r="E7" s="26"/>
      <c r="F7" s="26"/>
      <c r="G7" s="26"/>
      <c r="H7" s="18"/>
      <c r="I7" s="18"/>
      <c r="J7" s="234"/>
      <c r="K7" s="235"/>
      <c r="L7" s="234"/>
      <c r="M7" s="194"/>
      <c r="N7" s="15"/>
      <c r="O7" s="18"/>
      <c r="P7" s="224"/>
      <c r="Q7" s="225"/>
      <c r="R7" s="154"/>
      <c r="S7" s="18"/>
      <c r="T7" s="15"/>
      <c r="U7" s="15"/>
      <c r="V7" s="15"/>
      <c r="W7" s="15"/>
      <c r="X7" s="18"/>
      <c r="Y7" s="18"/>
      <c r="Z7" s="18"/>
      <c r="AA7" s="18"/>
      <c r="AB7" s="18"/>
      <c r="AC7" s="15"/>
      <c r="AD7" s="15"/>
      <c r="AE7" s="15"/>
      <c r="AF7" s="15"/>
      <c r="AG7" s="18"/>
      <c r="AH7" s="18"/>
      <c r="AI7" s="18"/>
      <c r="AJ7" s="18"/>
      <c r="AK7" s="18"/>
      <c r="AL7" s="15"/>
      <c r="AM7" s="16"/>
      <c r="AN7" s="15"/>
      <c r="AO7" s="15"/>
      <c r="AP7" s="18"/>
      <c r="AQ7" s="18"/>
      <c r="AR7" s="18"/>
      <c r="AS7" s="18"/>
      <c r="AT7" s="18"/>
      <c r="AU7" s="15"/>
      <c r="AV7" s="16"/>
    </row>
    <row r="8" spans="1:48" s="14" customFormat="1" x14ac:dyDescent="0.2">
      <c r="A8" s="18"/>
      <c r="B8" s="18"/>
      <c r="C8" s="17"/>
      <c r="D8" s="16"/>
      <c r="E8" s="26"/>
      <c r="F8" s="26"/>
      <c r="G8" s="26"/>
      <c r="H8" s="18"/>
      <c r="I8" s="18"/>
      <c r="J8" s="234"/>
      <c r="K8" s="235"/>
      <c r="L8" s="234"/>
      <c r="M8" s="194"/>
      <c r="N8" s="15"/>
      <c r="O8" s="18"/>
      <c r="P8" s="224"/>
      <c r="Q8" s="225"/>
      <c r="R8" s="154"/>
      <c r="S8" s="18"/>
      <c r="T8" s="15"/>
      <c r="U8" s="15"/>
      <c r="V8" s="15"/>
      <c r="W8" s="15"/>
      <c r="X8" s="18"/>
      <c r="Y8" s="18"/>
      <c r="Z8" s="18"/>
      <c r="AA8" s="18"/>
      <c r="AB8" s="18"/>
      <c r="AC8" s="15"/>
      <c r="AD8" s="15"/>
      <c r="AE8" s="15"/>
      <c r="AF8" s="15"/>
      <c r="AG8" s="18"/>
      <c r="AH8" s="18"/>
      <c r="AI8" s="18"/>
      <c r="AJ8" s="18"/>
      <c r="AK8" s="18"/>
      <c r="AL8" s="15"/>
      <c r="AM8" s="16"/>
      <c r="AN8" s="15"/>
      <c r="AO8" s="15"/>
      <c r="AP8" s="18"/>
      <c r="AQ8" s="18"/>
      <c r="AR8" s="18"/>
      <c r="AS8" s="18"/>
      <c r="AT8" s="18"/>
      <c r="AU8" s="15"/>
      <c r="AV8" s="16"/>
    </row>
    <row r="9" spans="1:48" s="14" customFormat="1" x14ac:dyDescent="0.2">
      <c r="A9" s="18"/>
      <c r="B9" s="18"/>
      <c r="C9" s="17"/>
      <c r="D9" s="8" t="s">
        <v>311</v>
      </c>
      <c r="E9" s="26"/>
      <c r="F9" s="26"/>
      <c r="G9" s="26"/>
      <c r="H9" s="18"/>
      <c r="I9" s="18"/>
      <c r="J9" s="234"/>
      <c r="K9" s="235"/>
      <c r="L9" s="234"/>
      <c r="M9" s="15"/>
      <c r="N9" s="15"/>
      <c r="O9" s="18"/>
      <c r="P9" s="302" t="s">
        <v>449</v>
      </c>
      <c r="Q9" s="302"/>
      <c r="R9" s="7"/>
      <c r="S9" s="170" t="s">
        <v>436</v>
      </c>
      <c r="T9" s="171"/>
      <c r="U9" s="15"/>
      <c r="V9" s="15"/>
      <c r="W9" s="15"/>
      <c r="X9" s="18"/>
      <c r="Y9" s="18"/>
      <c r="Z9" s="18"/>
      <c r="AA9" s="18"/>
      <c r="AB9" s="18"/>
      <c r="AC9" s="15"/>
      <c r="AD9" s="15"/>
      <c r="AE9" s="15"/>
      <c r="AF9" s="15"/>
      <c r="AG9" s="18"/>
      <c r="AH9" s="18"/>
      <c r="AI9" s="18"/>
      <c r="AJ9" s="18"/>
      <c r="AK9" s="18"/>
      <c r="AL9" s="15"/>
      <c r="AM9" s="16"/>
      <c r="AN9" s="15"/>
      <c r="AO9" s="15"/>
      <c r="AP9" s="18"/>
      <c r="AQ9" s="18"/>
      <c r="AR9" s="18"/>
      <c r="AS9" s="18"/>
      <c r="AT9" s="18"/>
      <c r="AU9" s="15"/>
      <c r="AV9" s="16"/>
    </row>
    <row r="10" spans="1:48" s="207" customFormat="1" ht="74.25" customHeight="1" x14ac:dyDescent="0.2">
      <c r="A10" s="198"/>
      <c r="B10" s="199" t="s">
        <v>364</v>
      </c>
      <c r="C10" s="200" t="s">
        <v>365</v>
      </c>
      <c r="D10" s="201" t="s">
        <v>365</v>
      </c>
      <c r="E10" s="200" t="s">
        <v>366</v>
      </c>
      <c r="F10" s="200" t="s">
        <v>87</v>
      </c>
      <c r="G10" s="200" t="s">
        <v>88</v>
      </c>
      <c r="H10" s="200" t="s">
        <v>89</v>
      </c>
      <c r="I10" s="200" t="s">
        <v>367</v>
      </c>
      <c r="J10" s="236" t="s">
        <v>368</v>
      </c>
      <c r="K10" s="237" t="s">
        <v>369</v>
      </c>
      <c r="L10" s="238" t="s">
        <v>370</v>
      </c>
      <c r="M10" s="200" t="s">
        <v>0</v>
      </c>
      <c r="N10" s="200" t="s">
        <v>371</v>
      </c>
      <c r="O10" s="202"/>
      <c r="P10" s="226" t="s">
        <v>437</v>
      </c>
      <c r="Q10" s="227" t="s">
        <v>438</v>
      </c>
      <c r="R10" s="202"/>
      <c r="S10" s="203" t="s">
        <v>437</v>
      </c>
      <c r="T10" s="203" t="s">
        <v>438</v>
      </c>
      <c r="U10" s="204"/>
      <c r="V10" s="204"/>
      <c r="W10" s="204"/>
      <c r="X10" s="205"/>
      <c r="Y10" s="205"/>
      <c r="Z10" s="205"/>
      <c r="AA10" s="205"/>
      <c r="AB10" s="205"/>
      <c r="AC10" s="204"/>
      <c r="AD10" s="204"/>
      <c r="AE10" s="204"/>
      <c r="AF10" s="204"/>
      <c r="AG10" s="205"/>
      <c r="AH10" s="205"/>
      <c r="AI10" s="205"/>
      <c r="AJ10" s="205"/>
      <c r="AK10" s="205"/>
      <c r="AL10" s="204"/>
      <c r="AM10" s="206"/>
      <c r="AN10" s="204"/>
      <c r="AO10" s="204"/>
      <c r="AP10" s="205"/>
      <c r="AQ10" s="205"/>
      <c r="AR10" s="205"/>
      <c r="AS10" s="205"/>
      <c r="AT10" s="205"/>
      <c r="AU10" s="204"/>
      <c r="AV10" s="206"/>
    </row>
    <row r="11" spans="1:48" s="20" customFormat="1" x14ac:dyDescent="0.2">
      <c r="A11" s="22" t="s">
        <v>448</v>
      </c>
      <c r="B11" s="23"/>
      <c r="C11" s="22"/>
      <c r="D11" s="179"/>
      <c r="E11" s="27"/>
      <c r="F11" s="27"/>
      <c r="G11" s="27"/>
      <c r="H11" s="23"/>
      <c r="I11" s="23"/>
      <c r="J11" s="239"/>
      <c r="K11" s="240"/>
      <c r="L11" s="239"/>
      <c r="M11" s="21"/>
      <c r="N11" s="21"/>
      <c r="O11" s="18"/>
      <c r="P11" s="228"/>
      <c r="Q11" s="229"/>
      <c r="R11" s="7"/>
      <c r="S11" s="172"/>
      <c r="T11" s="172"/>
      <c r="U11" s="15"/>
      <c r="V11" s="15"/>
      <c r="W11" s="15"/>
      <c r="X11" s="18"/>
      <c r="Y11" s="18"/>
      <c r="Z11" s="18"/>
      <c r="AA11" s="18"/>
      <c r="AB11" s="18"/>
      <c r="AC11" s="15"/>
      <c r="AD11" s="15"/>
      <c r="AE11" s="15"/>
      <c r="AF11" s="15"/>
      <c r="AG11" s="18"/>
      <c r="AH11" s="18"/>
      <c r="AI11" s="18"/>
      <c r="AJ11" s="18"/>
      <c r="AK11" s="18"/>
      <c r="AL11" s="15"/>
      <c r="AM11" s="16"/>
      <c r="AN11" s="15"/>
      <c r="AO11" s="15"/>
      <c r="AP11" s="18"/>
      <c r="AQ11" s="18"/>
      <c r="AR11" s="18"/>
      <c r="AS11" s="18"/>
      <c r="AT11" s="18"/>
      <c r="AU11" s="15"/>
      <c r="AV11" s="16"/>
    </row>
    <row r="12" spans="1:48" s="20" customFormat="1" x14ac:dyDescent="0.2">
      <c r="A12" s="22" t="s">
        <v>372</v>
      </c>
      <c r="B12" s="23"/>
      <c r="C12" s="22"/>
      <c r="D12" s="179"/>
      <c r="E12" s="27"/>
      <c r="F12" s="27"/>
      <c r="G12" s="27"/>
      <c r="H12" s="23"/>
      <c r="I12" s="23"/>
      <c r="J12" s="239"/>
      <c r="K12" s="240"/>
      <c r="L12" s="239"/>
      <c r="M12" s="21"/>
      <c r="N12" s="21"/>
      <c r="O12" s="18"/>
      <c r="P12" s="228"/>
      <c r="Q12" s="229"/>
      <c r="R12" s="7"/>
      <c r="S12" s="172"/>
      <c r="T12" s="172"/>
      <c r="U12" s="15"/>
      <c r="V12" s="15"/>
      <c r="W12" s="15"/>
      <c r="X12" s="18"/>
      <c r="Y12" s="18"/>
      <c r="Z12" s="18"/>
      <c r="AA12" s="18"/>
      <c r="AB12" s="18"/>
      <c r="AC12" s="15"/>
      <c r="AD12" s="15"/>
      <c r="AE12" s="15"/>
      <c r="AF12" s="15"/>
      <c r="AG12" s="18"/>
      <c r="AH12" s="18"/>
      <c r="AI12" s="18"/>
      <c r="AJ12" s="18"/>
      <c r="AK12" s="18"/>
      <c r="AL12" s="15"/>
      <c r="AM12" s="16"/>
      <c r="AN12" s="15"/>
      <c r="AO12" s="15"/>
      <c r="AP12" s="18"/>
      <c r="AQ12" s="18"/>
      <c r="AR12" s="18"/>
      <c r="AS12" s="18"/>
      <c r="AT12" s="18"/>
      <c r="AU12" s="15"/>
      <c r="AV12" s="16"/>
    </row>
    <row r="13" spans="1:48" ht="57.75" customHeight="1" x14ac:dyDescent="0.2">
      <c r="A13" s="19">
        <v>1</v>
      </c>
      <c r="B13" s="19">
        <v>1</v>
      </c>
      <c r="C13" s="24" t="s">
        <v>297</v>
      </c>
      <c r="D13" s="180" t="s">
        <v>423</v>
      </c>
      <c r="E13" s="28" t="s">
        <v>298</v>
      </c>
      <c r="F13" s="28" t="s">
        <v>92</v>
      </c>
      <c r="G13" s="28" t="s">
        <v>90</v>
      </c>
      <c r="H13" s="19">
        <v>2001</v>
      </c>
      <c r="I13" s="19">
        <v>55.9</v>
      </c>
      <c r="J13" s="241" t="s">
        <v>9</v>
      </c>
      <c r="K13" s="242" t="s">
        <v>9</v>
      </c>
      <c r="L13" s="243">
        <v>2026</v>
      </c>
      <c r="M13" s="24"/>
      <c r="N13" s="24"/>
      <c r="O13" s="9"/>
      <c r="P13" s="228"/>
      <c r="Q13" s="229" t="s">
        <v>409</v>
      </c>
      <c r="R13" s="7"/>
      <c r="S13" s="173" t="s">
        <v>439</v>
      </c>
      <c r="T13" s="173" t="s">
        <v>440</v>
      </c>
      <c r="U13" s="7"/>
      <c r="V13" s="7"/>
      <c r="W13" s="7"/>
      <c r="X13" s="9"/>
      <c r="Y13" s="9"/>
      <c r="Z13" s="9"/>
      <c r="AA13" s="9"/>
      <c r="AB13" s="9"/>
      <c r="AC13" s="7"/>
      <c r="AD13" s="7"/>
      <c r="AE13" s="7"/>
      <c r="AF13" s="7"/>
      <c r="AG13" s="9"/>
      <c r="AH13" s="9"/>
      <c r="AI13" s="9"/>
      <c r="AJ13" s="9"/>
      <c r="AK13" s="9"/>
      <c r="AL13" s="7"/>
      <c r="AM13" s="8"/>
      <c r="AN13" s="7"/>
      <c r="AO13" s="7"/>
      <c r="AP13" s="9"/>
      <c r="AQ13" s="9"/>
      <c r="AR13" s="9"/>
      <c r="AS13" s="9"/>
      <c r="AT13" s="9"/>
      <c r="AU13" s="7"/>
      <c r="AV13" s="8"/>
    </row>
    <row r="14" spans="1:48" ht="15" customHeight="1" x14ac:dyDescent="0.2">
      <c r="A14" s="25" t="s">
        <v>72</v>
      </c>
      <c r="B14" s="9"/>
      <c r="C14" s="25"/>
      <c r="D14" s="181"/>
      <c r="E14" s="13"/>
      <c r="F14" s="13"/>
      <c r="G14" s="13"/>
      <c r="H14" s="9"/>
      <c r="I14" s="9"/>
      <c r="J14" s="161"/>
      <c r="K14" s="244"/>
      <c r="L14" s="163"/>
      <c r="M14" s="7"/>
      <c r="N14" s="7"/>
      <c r="O14" s="9"/>
      <c r="P14" s="228"/>
      <c r="Q14" s="229"/>
      <c r="R14" s="7"/>
      <c r="U14" s="7"/>
      <c r="V14" s="7"/>
      <c r="W14" s="7"/>
      <c r="X14" s="9"/>
      <c r="Y14" s="9"/>
      <c r="Z14" s="9"/>
      <c r="AA14" s="9"/>
      <c r="AB14" s="9"/>
      <c r="AC14" s="7"/>
      <c r="AD14" s="7"/>
      <c r="AE14" s="7"/>
      <c r="AF14" s="7"/>
      <c r="AG14" s="9"/>
      <c r="AH14" s="9"/>
      <c r="AI14" s="9"/>
      <c r="AJ14" s="9"/>
      <c r="AK14" s="9"/>
      <c r="AL14" s="7"/>
      <c r="AM14" s="8"/>
      <c r="AN14" s="7"/>
      <c r="AO14" s="7"/>
      <c r="AP14" s="9"/>
      <c r="AQ14" s="9"/>
      <c r="AR14" s="9"/>
      <c r="AS14" s="9"/>
      <c r="AT14" s="9"/>
      <c r="AU14" s="7"/>
      <c r="AV14" s="8"/>
    </row>
    <row r="15" spans="1:48" ht="59.25" customHeight="1" x14ac:dyDescent="0.2">
      <c r="A15" s="19">
        <v>2</v>
      </c>
      <c r="B15" s="19">
        <v>1</v>
      </c>
      <c r="C15" s="24" t="s">
        <v>411</v>
      </c>
      <c r="D15" s="180" t="s">
        <v>94</v>
      </c>
      <c r="E15" s="28" t="s">
        <v>91</v>
      </c>
      <c r="F15" s="28" t="s">
        <v>93</v>
      </c>
      <c r="G15" s="28" t="s">
        <v>29</v>
      </c>
      <c r="H15" s="19">
        <v>1989</v>
      </c>
      <c r="I15" s="19">
        <v>3671.8</v>
      </c>
      <c r="J15" s="241" t="s">
        <v>9</v>
      </c>
      <c r="K15" s="242" t="s">
        <v>9</v>
      </c>
      <c r="L15" s="243">
        <v>2026</v>
      </c>
      <c r="M15" s="24"/>
      <c r="N15" s="24"/>
      <c r="O15" s="9"/>
      <c r="P15" s="230"/>
      <c r="Q15" s="229" t="s">
        <v>410</v>
      </c>
      <c r="R15" s="153"/>
      <c r="S15" s="9"/>
      <c r="T15" s="7"/>
      <c r="U15" s="7"/>
      <c r="V15" s="7"/>
      <c r="W15" s="7"/>
      <c r="X15" s="9"/>
      <c r="Y15" s="9"/>
      <c r="Z15" s="9"/>
      <c r="AA15" s="9"/>
      <c r="AB15" s="9"/>
      <c r="AC15" s="7"/>
      <c r="AD15" s="7"/>
      <c r="AE15" s="7"/>
      <c r="AF15" s="7"/>
      <c r="AG15" s="9"/>
      <c r="AH15" s="9"/>
      <c r="AI15" s="9"/>
      <c r="AJ15" s="9"/>
      <c r="AK15" s="9"/>
      <c r="AL15" s="7"/>
      <c r="AM15" s="8"/>
      <c r="AN15" s="7"/>
      <c r="AO15" s="7"/>
      <c r="AP15" s="9"/>
      <c r="AQ15" s="9"/>
      <c r="AR15" s="9"/>
      <c r="AS15" s="9"/>
      <c r="AT15" s="9"/>
      <c r="AU15" s="7"/>
      <c r="AV15" s="8"/>
    </row>
    <row r="16" spans="1:48" ht="15.75" customHeight="1" x14ac:dyDescent="0.2">
      <c r="A16" s="25" t="s">
        <v>73</v>
      </c>
      <c r="B16" s="9"/>
      <c r="C16" s="25"/>
      <c r="D16" s="181"/>
      <c r="E16" s="13"/>
      <c r="F16" s="13"/>
      <c r="G16" s="13"/>
      <c r="H16" s="9"/>
      <c r="I16" s="9"/>
      <c r="J16" s="161"/>
      <c r="K16" s="244"/>
      <c r="L16" s="163"/>
      <c r="M16" s="7"/>
      <c r="N16" s="7"/>
      <c r="O16" s="9"/>
      <c r="P16" s="230"/>
      <c r="Q16" s="229"/>
      <c r="R16" s="153"/>
      <c r="S16" s="9"/>
      <c r="T16" s="7"/>
      <c r="U16" s="7"/>
      <c r="V16" s="7"/>
      <c r="W16" s="7"/>
      <c r="X16" s="9"/>
      <c r="Y16" s="9"/>
      <c r="Z16" s="9"/>
      <c r="AA16" s="9"/>
      <c r="AB16" s="9"/>
      <c r="AC16" s="7"/>
      <c r="AD16" s="7"/>
      <c r="AE16" s="7"/>
      <c r="AF16" s="7"/>
      <c r="AG16" s="9"/>
      <c r="AH16" s="9"/>
      <c r="AI16" s="9"/>
      <c r="AJ16" s="9"/>
      <c r="AK16" s="9"/>
      <c r="AL16" s="7"/>
      <c r="AM16" s="8"/>
      <c r="AN16" s="7"/>
      <c r="AO16" s="7"/>
      <c r="AP16" s="9"/>
      <c r="AQ16" s="9"/>
      <c r="AR16" s="9"/>
      <c r="AS16" s="9"/>
      <c r="AT16" s="9"/>
      <c r="AU16" s="7"/>
      <c r="AV16" s="8"/>
    </row>
    <row r="17" spans="1:48" s="2" customFormat="1" ht="68.25" customHeight="1" x14ac:dyDescent="0.25">
      <c r="A17" s="19">
        <v>3</v>
      </c>
      <c r="B17" s="156">
        <v>1</v>
      </c>
      <c r="C17" s="164" t="s">
        <v>490</v>
      </c>
      <c r="D17" s="182" t="s">
        <v>95</v>
      </c>
      <c r="E17" s="28" t="s">
        <v>451</v>
      </c>
      <c r="F17" s="28" t="s">
        <v>452</v>
      </c>
      <c r="G17" s="28" t="s">
        <v>29</v>
      </c>
      <c r="H17" s="19">
        <v>1973</v>
      </c>
      <c r="I17" s="19">
        <v>69</v>
      </c>
      <c r="J17" s="241" t="s">
        <v>9</v>
      </c>
      <c r="K17" s="241" t="s">
        <v>9</v>
      </c>
      <c r="L17" s="243">
        <v>2026</v>
      </c>
      <c r="M17" s="24"/>
      <c r="N17" s="24"/>
      <c r="O17" s="9"/>
      <c r="P17" s="230" t="s">
        <v>514</v>
      </c>
      <c r="Q17" s="229" t="s">
        <v>373</v>
      </c>
      <c r="R17" s="153"/>
      <c r="S17" s="9"/>
      <c r="T17" s="7"/>
      <c r="U17" s="7"/>
      <c r="V17" s="7"/>
      <c r="W17" s="7"/>
      <c r="X17" s="9"/>
      <c r="Y17" s="9"/>
      <c r="Z17" s="9"/>
      <c r="AA17" s="9"/>
      <c r="AB17" s="9"/>
      <c r="AC17" s="7"/>
      <c r="AD17" s="7"/>
      <c r="AE17" s="7"/>
      <c r="AF17" s="7"/>
      <c r="AG17" s="9"/>
      <c r="AH17" s="9"/>
      <c r="AI17" s="9"/>
      <c r="AJ17" s="9"/>
      <c r="AK17" s="9"/>
      <c r="AL17" s="7"/>
      <c r="AM17" s="8"/>
      <c r="AN17" s="7"/>
      <c r="AO17" s="7"/>
      <c r="AP17" s="9"/>
      <c r="AQ17" s="9"/>
      <c r="AR17" s="9"/>
      <c r="AS17" s="9"/>
      <c r="AT17" s="9"/>
      <c r="AU17" s="7"/>
      <c r="AV17" s="8"/>
    </row>
    <row r="18" spans="1:48" s="2" customFormat="1" ht="69.75" customHeight="1" x14ac:dyDescent="0.25">
      <c r="A18" s="19">
        <v>5</v>
      </c>
      <c r="B18" s="156">
        <v>1</v>
      </c>
      <c r="C18" s="166"/>
      <c r="D18" s="184"/>
      <c r="E18" s="28" t="s">
        <v>481</v>
      </c>
      <c r="F18" s="28" t="s">
        <v>482</v>
      </c>
      <c r="G18" s="28" t="s">
        <v>29</v>
      </c>
      <c r="H18" s="19">
        <v>1938</v>
      </c>
      <c r="I18" s="19">
        <v>346.4</v>
      </c>
      <c r="J18" s="241" t="s">
        <v>9</v>
      </c>
      <c r="K18" s="241" t="s">
        <v>9</v>
      </c>
      <c r="L18" s="243">
        <v>2026</v>
      </c>
      <c r="M18"/>
      <c r="N18" s="24"/>
      <c r="O18" s="9"/>
      <c r="P18" s="251"/>
      <c r="Q18" s="229" t="s">
        <v>373</v>
      </c>
      <c r="R18" s="153"/>
      <c r="S18" s="9"/>
      <c r="T18" s="7"/>
      <c r="U18" s="7"/>
      <c r="V18" s="7"/>
      <c r="W18" s="7"/>
      <c r="X18" s="9"/>
      <c r="Y18" s="9"/>
      <c r="Z18" s="9"/>
      <c r="AA18" s="9"/>
      <c r="AB18" s="9"/>
      <c r="AC18" s="7"/>
      <c r="AD18" s="7"/>
      <c r="AE18" s="7"/>
      <c r="AF18" s="7"/>
      <c r="AG18" s="9"/>
      <c r="AH18" s="9"/>
      <c r="AI18" s="9"/>
      <c r="AJ18" s="9"/>
      <c r="AK18" s="9"/>
      <c r="AL18" s="7"/>
      <c r="AM18" s="8"/>
      <c r="AN18" s="7"/>
      <c r="AO18" s="7"/>
      <c r="AP18" s="9"/>
      <c r="AQ18" s="9"/>
      <c r="AR18" s="9"/>
      <c r="AS18" s="9"/>
      <c r="AT18" s="9"/>
      <c r="AU18" s="7"/>
      <c r="AV18" s="8"/>
    </row>
    <row r="19" spans="1:48" s="2" customFormat="1" ht="66" customHeight="1" x14ac:dyDescent="0.25">
      <c r="A19" s="261">
        <v>6</v>
      </c>
      <c r="B19" s="262">
        <v>1</v>
      </c>
      <c r="C19" s="21" t="s">
        <v>492</v>
      </c>
      <c r="D19" s="263"/>
      <c r="E19" s="265" t="s">
        <v>484</v>
      </c>
      <c r="F19" s="265" t="s">
        <v>485</v>
      </c>
      <c r="G19" s="265" t="s">
        <v>286</v>
      </c>
      <c r="H19" s="266">
        <v>585.9</v>
      </c>
      <c r="I19" s="266">
        <v>585.9</v>
      </c>
      <c r="J19" s="267" t="s">
        <v>9</v>
      </c>
      <c r="K19" s="267" t="s">
        <v>9</v>
      </c>
      <c r="L19" s="267">
        <v>2026</v>
      </c>
      <c r="M19" s="262"/>
      <c r="N19" s="262"/>
      <c r="O19" s="9"/>
      <c r="P19" s="259"/>
      <c r="Q19" s="278" t="s">
        <v>373</v>
      </c>
      <c r="R19" s="153"/>
      <c r="S19" s="9"/>
      <c r="T19" s="7"/>
      <c r="U19" s="7"/>
      <c r="V19" s="7"/>
      <c r="W19" s="7"/>
      <c r="X19" s="9"/>
      <c r="Y19" s="9"/>
      <c r="Z19" s="9"/>
      <c r="AA19" s="9"/>
      <c r="AB19" s="9"/>
      <c r="AC19" s="7"/>
      <c r="AD19" s="7"/>
      <c r="AE19" s="7"/>
      <c r="AF19" s="7"/>
      <c r="AG19" s="9"/>
      <c r="AH19" s="9"/>
      <c r="AI19" s="9"/>
      <c r="AJ19" s="9"/>
      <c r="AK19" s="9"/>
      <c r="AL19" s="7"/>
      <c r="AM19" s="8"/>
      <c r="AN19" s="7"/>
      <c r="AO19" s="7"/>
      <c r="AP19" s="9"/>
      <c r="AQ19" s="9"/>
      <c r="AR19" s="9"/>
      <c r="AS19" s="9"/>
      <c r="AT19" s="9"/>
      <c r="AU19" s="7"/>
      <c r="AV19" s="8"/>
    </row>
    <row r="20" spans="1:48" s="2" customFormat="1" ht="55.9" customHeight="1" x14ac:dyDescent="0.25">
      <c r="A20" s="252">
        <v>7</v>
      </c>
      <c r="B20" s="12">
        <v>1</v>
      </c>
      <c r="C20" s="270" t="s">
        <v>493</v>
      </c>
      <c r="D20" s="179"/>
      <c r="E20" s="27" t="s">
        <v>491</v>
      </c>
      <c r="F20" s="27" t="s">
        <v>488</v>
      </c>
      <c r="G20" s="264" t="s">
        <v>489</v>
      </c>
      <c r="H20" s="23">
        <v>1940</v>
      </c>
      <c r="I20" s="23">
        <v>305</v>
      </c>
      <c r="J20" s="239" t="s">
        <v>405</v>
      </c>
      <c r="K20" s="239" t="s">
        <v>405</v>
      </c>
      <c r="L20" s="245">
        <v>2026</v>
      </c>
      <c r="M20" s="24"/>
      <c r="N20" s="24"/>
      <c r="O20" s="19"/>
      <c r="P20" s="259"/>
      <c r="Q20" s="278" t="s">
        <v>373</v>
      </c>
      <c r="R20" s="153"/>
      <c r="S20" s="9"/>
      <c r="T20" s="7"/>
      <c r="U20" s="7"/>
      <c r="V20" s="7"/>
      <c r="W20" s="7"/>
      <c r="X20" s="9"/>
      <c r="Y20" s="9"/>
      <c r="Z20" s="9"/>
      <c r="AA20" s="9"/>
      <c r="AB20" s="9"/>
      <c r="AC20" s="7"/>
      <c r="AD20" s="7"/>
      <c r="AE20" s="7"/>
      <c r="AF20" s="7"/>
      <c r="AG20" s="9"/>
      <c r="AH20" s="9"/>
      <c r="AI20" s="9"/>
      <c r="AJ20" s="9"/>
      <c r="AK20" s="9"/>
      <c r="AL20" s="7"/>
      <c r="AM20" s="8"/>
      <c r="AN20" s="7"/>
      <c r="AO20" s="7"/>
      <c r="AP20" s="9"/>
      <c r="AQ20" s="9"/>
      <c r="AR20" s="9"/>
      <c r="AS20" s="9"/>
      <c r="AT20" s="9"/>
      <c r="AU20" s="7"/>
      <c r="AV20" s="8"/>
    </row>
    <row r="21" spans="1:48" s="2" customFormat="1" ht="63" customHeight="1" x14ac:dyDescent="0.25">
      <c r="A21" s="252">
        <v>8</v>
      </c>
      <c r="B21" s="12">
        <v>1</v>
      </c>
      <c r="C21" s="271" t="s">
        <v>498</v>
      </c>
      <c r="D21" s="269"/>
      <c r="E21" s="265" t="s">
        <v>505</v>
      </c>
      <c r="F21" s="265" t="s">
        <v>499</v>
      </c>
      <c r="G21" s="273"/>
      <c r="H21" s="23">
        <v>2015</v>
      </c>
      <c r="I21" s="23"/>
      <c r="J21" s="239" t="s">
        <v>9</v>
      </c>
      <c r="K21" s="239" t="s">
        <v>9</v>
      </c>
      <c r="L21" s="245">
        <v>2026</v>
      </c>
      <c r="M21" s="24"/>
      <c r="N21" s="24"/>
      <c r="O21" s="12"/>
      <c r="P21" s="288" t="s">
        <v>514</v>
      </c>
      <c r="Q21" s="278" t="s">
        <v>373</v>
      </c>
      <c r="R21" s="153"/>
      <c r="S21" s="9"/>
      <c r="T21" s="7"/>
      <c r="U21" s="7"/>
      <c r="V21" s="7"/>
      <c r="W21" s="7"/>
      <c r="X21" s="9"/>
      <c r="Y21" s="9"/>
      <c r="Z21" s="9"/>
      <c r="AA21" s="9"/>
      <c r="AB21" s="9"/>
      <c r="AC21" s="7"/>
      <c r="AD21" s="7"/>
      <c r="AE21" s="7"/>
      <c r="AF21" s="7"/>
      <c r="AG21" s="9"/>
      <c r="AH21" s="9"/>
      <c r="AI21" s="9"/>
      <c r="AJ21" s="9"/>
      <c r="AK21" s="9"/>
      <c r="AL21" s="7"/>
      <c r="AM21" s="8"/>
      <c r="AN21" s="7"/>
      <c r="AO21" s="7"/>
      <c r="AP21" s="9"/>
      <c r="AQ21" s="9"/>
      <c r="AR21" s="9"/>
      <c r="AS21" s="9"/>
      <c r="AT21" s="9"/>
      <c r="AU21" s="7"/>
      <c r="AV21" s="8"/>
    </row>
    <row r="22" spans="1:48" s="2" customFormat="1" ht="66.599999999999994" customHeight="1" x14ac:dyDescent="0.25">
      <c r="A22" s="252"/>
      <c r="B22" s="12">
        <v>1</v>
      </c>
      <c r="C22" s="268"/>
      <c r="D22" s="269"/>
      <c r="E22" s="272" t="s">
        <v>507</v>
      </c>
      <c r="F22" s="272"/>
      <c r="G22" s="274"/>
      <c r="H22" s="23"/>
      <c r="I22" s="23"/>
      <c r="J22" s="239" t="s">
        <v>9</v>
      </c>
      <c r="K22" s="239" t="s">
        <v>9</v>
      </c>
      <c r="L22" s="245">
        <v>2026</v>
      </c>
      <c r="M22" s="24"/>
      <c r="N22" s="24"/>
      <c r="O22" s="12"/>
      <c r="P22" s="260" t="s">
        <v>514</v>
      </c>
      <c r="Q22" s="278" t="s">
        <v>373</v>
      </c>
      <c r="R22" s="153"/>
      <c r="S22" s="9"/>
      <c r="T22" s="7"/>
      <c r="U22" s="7"/>
      <c r="V22" s="7"/>
      <c r="W22" s="7"/>
      <c r="X22" s="9"/>
      <c r="Y22" s="9"/>
      <c r="Z22" s="9"/>
      <c r="AA22" s="9"/>
      <c r="AB22" s="9"/>
      <c r="AC22" s="7"/>
      <c r="AD22" s="7"/>
      <c r="AE22" s="7"/>
      <c r="AF22" s="7"/>
      <c r="AG22" s="9"/>
      <c r="AH22" s="9"/>
      <c r="AI22" s="9"/>
      <c r="AJ22" s="9"/>
      <c r="AK22" s="9"/>
      <c r="AL22" s="7"/>
      <c r="AM22" s="8"/>
      <c r="AN22" s="7"/>
      <c r="AO22" s="7"/>
      <c r="AP22" s="9"/>
      <c r="AQ22" s="9"/>
      <c r="AR22" s="9"/>
      <c r="AS22" s="9"/>
      <c r="AT22" s="9"/>
      <c r="AU22" s="7"/>
      <c r="AV22" s="8"/>
    </row>
    <row r="23" spans="1:48" s="2" customFormat="1" ht="64.900000000000006" customHeight="1" x14ac:dyDescent="0.25">
      <c r="A23" s="252"/>
      <c r="B23" s="12">
        <v>1</v>
      </c>
      <c r="C23" s="268"/>
      <c r="D23" s="269"/>
      <c r="E23" s="272" t="s">
        <v>506</v>
      </c>
      <c r="F23" s="272"/>
      <c r="G23" s="274"/>
      <c r="H23" s="23"/>
      <c r="I23" s="23"/>
      <c r="J23" s="239" t="s">
        <v>9</v>
      </c>
      <c r="K23" s="239" t="s">
        <v>9</v>
      </c>
      <c r="L23" s="245">
        <v>2026</v>
      </c>
      <c r="M23" s="24"/>
      <c r="N23" s="24"/>
      <c r="O23" s="12"/>
      <c r="P23" s="260" t="s">
        <v>514</v>
      </c>
      <c r="Q23" s="278" t="s">
        <v>373</v>
      </c>
      <c r="R23" s="153"/>
      <c r="S23" s="9"/>
      <c r="T23" s="7"/>
      <c r="U23" s="7"/>
      <c r="V23" s="7"/>
      <c r="W23" s="7"/>
      <c r="X23" s="9"/>
      <c r="Y23" s="9"/>
      <c r="Z23" s="9"/>
      <c r="AA23" s="9"/>
      <c r="AB23" s="9"/>
      <c r="AC23" s="7"/>
      <c r="AD23" s="7"/>
      <c r="AE23" s="7"/>
      <c r="AF23" s="7"/>
      <c r="AG23" s="9"/>
      <c r="AH23" s="9"/>
      <c r="AI23" s="9"/>
      <c r="AJ23" s="9"/>
      <c r="AK23" s="9"/>
      <c r="AL23" s="7"/>
      <c r="AM23" s="8"/>
      <c r="AN23" s="7"/>
      <c r="AO23" s="7"/>
      <c r="AP23" s="9"/>
      <c r="AQ23" s="9"/>
      <c r="AR23" s="9"/>
      <c r="AS23" s="9"/>
      <c r="AT23" s="9"/>
      <c r="AU23" s="7"/>
      <c r="AV23" s="8"/>
    </row>
    <row r="24" spans="1:48" s="2" customFormat="1" ht="71.45" customHeight="1" x14ac:dyDescent="0.25">
      <c r="A24" s="252"/>
      <c r="B24" s="12">
        <v>1</v>
      </c>
      <c r="C24" s="268"/>
      <c r="D24" s="269"/>
      <c r="E24" s="272" t="s">
        <v>508</v>
      </c>
      <c r="F24" s="272"/>
      <c r="G24" s="274"/>
      <c r="H24" s="266"/>
      <c r="I24" s="266"/>
      <c r="J24" s="267" t="s">
        <v>9</v>
      </c>
      <c r="K24" s="267" t="s">
        <v>9</v>
      </c>
      <c r="L24" s="287">
        <v>2026</v>
      </c>
      <c r="M24" s="164"/>
      <c r="N24" s="164"/>
      <c r="O24" s="12"/>
      <c r="P24" s="260" t="s">
        <v>514</v>
      </c>
      <c r="Q24" s="278" t="s">
        <v>373</v>
      </c>
      <c r="R24" s="153"/>
      <c r="S24" s="9"/>
      <c r="T24" s="7"/>
      <c r="U24" s="7"/>
      <c r="V24" s="7"/>
      <c r="W24" s="7"/>
      <c r="X24" s="9"/>
      <c r="Y24" s="9"/>
      <c r="Z24" s="9"/>
      <c r="AA24" s="9"/>
      <c r="AB24" s="9"/>
      <c r="AC24" s="7"/>
      <c r="AD24" s="7"/>
      <c r="AE24" s="7"/>
      <c r="AF24" s="7"/>
      <c r="AG24" s="9"/>
      <c r="AH24" s="9"/>
      <c r="AI24" s="9"/>
      <c r="AJ24" s="9"/>
      <c r="AK24" s="9"/>
      <c r="AL24" s="7"/>
      <c r="AM24" s="8"/>
      <c r="AN24" s="7"/>
      <c r="AO24" s="7"/>
      <c r="AP24" s="9"/>
      <c r="AQ24" s="9"/>
      <c r="AR24" s="9"/>
      <c r="AS24" s="9"/>
      <c r="AT24" s="9"/>
      <c r="AU24" s="7"/>
      <c r="AV24" s="8"/>
    </row>
    <row r="25" spans="1:48" s="2" customFormat="1" ht="71.45" customHeight="1" x14ac:dyDescent="0.25">
      <c r="A25" s="252"/>
      <c r="B25" s="12">
        <v>1</v>
      </c>
      <c r="C25" s="21" t="s">
        <v>511</v>
      </c>
      <c r="D25" s="179"/>
      <c r="E25" s="27" t="s">
        <v>510</v>
      </c>
      <c r="F25" s="27" t="s">
        <v>512</v>
      </c>
      <c r="G25" s="264" t="s">
        <v>489</v>
      </c>
      <c r="H25" s="23"/>
      <c r="I25" s="23">
        <v>146.1</v>
      </c>
      <c r="J25" s="239" t="s">
        <v>9</v>
      </c>
      <c r="K25" s="239" t="s">
        <v>9</v>
      </c>
      <c r="L25" s="245">
        <v>2026</v>
      </c>
      <c r="M25" s="24"/>
      <c r="N25" s="24"/>
      <c r="O25" s="12"/>
      <c r="P25" s="282"/>
      <c r="Q25" s="278" t="s">
        <v>373</v>
      </c>
      <c r="R25" s="153"/>
      <c r="S25" s="9"/>
      <c r="T25" s="7"/>
      <c r="U25" s="7"/>
      <c r="V25" s="7"/>
      <c r="W25" s="7"/>
      <c r="X25" s="9"/>
      <c r="Y25" s="9"/>
      <c r="Z25" s="9"/>
      <c r="AA25" s="9"/>
      <c r="AB25" s="9"/>
      <c r="AC25" s="7"/>
      <c r="AD25" s="7"/>
      <c r="AE25" s="7"/>
      <c r="AF25" s="7"/>
      <c r="AG25" s="9"/>
      <c r="AH25" s="9"/>
      <c r="AI25" s="9"/>
      <c r="AJ25" s="9"/>
      <c r="AK25" s="9"/>
      <c r="AL25" s="7"/>
      <c r="AM25" s="8"/>
      <c r="AN25" s="7"/>
      <c r="AO25" s="7"/>
      <c r="AP25" s="9"/>
      <c r="AQ25" s="9"/>
      <c r="AR25" s="9"/>
      <c r="AS25" s="9"/>
      <c r="AT25" s="9"/>
      <c r="AU25" s="7"/>
      <c r="AV25" s="8"/>
    </row>
    <row r="26" spans="1:48" ht="15" customHeight="1" x14ac:dyDescent="0.2">
      <c r="A26" s="25" t="s">
        <v>77</v>
      </c>
      <c r="B26" s="9"/>
      <c r="C26" s="167"/>
      <c r="D26" s="181"/>
      <c r="E26" s="13"/>
      <c r="F26" s="13"/>
      <c r="G26" s="13"/>
      <c r="H26" s="9"/>
      <c r="I26" s="9"/>
      <c r="J26" s="161"/>
      <c r="K26" s="244"/>
      <c r="L26" s="163"/>
      <c r="M26" s="7"/>
      <c r="N26" s="7"/>
      <c r="O26" s="9"/>
      <c r="P26" s="230"/>
      <c r="Q26" s="229"/>
      <c r="R26" s="153"/>
      <c r="S26" s="9"/>
      <c r="T26" s="7"/>
      <c r="U26" s="7"/>
      <c r="V26" s="7"/>
      <c r="W26" s="7"/>
      <c r="X26" s="9"/>
      <c r="Y26" s="9"/>
      <c r="Z26" s="9"/>
      <c r="AA26" s="9"/>
      <c r="AB26" s="9"/>
      <c r="AC26" s="7"/>
      <c r="AD26" s="7"/>
      <c r="AE26" s="7"/>
      <c r="AF26" s="7"/>
      <c r="AG26" s="9"/>
      <c r="AH26" s="9"/>
      <c r="AI26" s="9"/>
      <c r="AJ26" s="9"/>
      <c r="AK26" s="9"/>
      <c r="AL26" s="7"/>
      <c r="AM26" s="8"/>
      <c r="AN26" s="7"/>
      <c r="AO26" s="7"/>
      <c r="AP26" s="9"/>
      <c r="AQ26" s="9"/>
      <c r="AR26" s="9"/>
      <c r="AS26" s="9"/>
      <c r="AT26" s="9"/>
      <c r="AU26" s="7"/>
      <c r="AV26" s="8"/>
    </row>
    <row r="27" spans="1:48" s="2" customFormat="1" ht="87" customHeight="1" x14ac:dyDescent="0.25">
      <c r="A27" s="19">
        <v>9</v>
      </c>
      <c r="B27" s="156">
        <v>1</v>
      </c>
      <c r="C27" s="164" t="s">
        <v>299</v>
      </c>
      <c r="D27" s="182" t="s">
        <v>299</v>
      </c>
      <c r="E27" s="28" t="s">
        <v>96</v>
      </c>
      <c r="F27" s="28" t="s">
        <v>300</v>
      </c>
      <c r="G27" s="28" t="s">
        <v>66</v>
      </c>
      <c r="H27" s="19">
        <v>1983</v>
      </c>
      <c r="I27" s="19">
        <v>350</v>
      </c>
      <c r="J27" s="241" t="s">
        <v>11</v>
      </c>
      <c r="K27" s="242" t="s">
        <v>11</v>
      </c>
      <c r="L27" s="241">
        <v>2027</v>
      </c>
      <c r="M27" s="24"/>
      <c r="N27" s="24"/>
      <c r="O27" s="9"/>
      <c r="P27" s="230"/>
      <c r="Q27" s="229" t="s">
        <v>515</v>
      </c>
      <c r="R27" s="153"/>
      <c r="S27" s="9"/>
      <c r="T27" s="7"/>
      <c r="U27" s="7"/>
      <c r="V27" s="7"/>
      <c r="W27" s="7"/>
      <c r="X27" s="9"/>
      <c r="Y27" s="9"/>
      <c r="Z27" s="9"/>
      <c r="AA27" s="9"/>
      <c r="AB27" s="9"/>
      <c r="AC27" s="7"/>
      <c r="AD27" s="7"/>
      <c r="AE27" s="7"/>
      <c r="AF27" s="7"/>
      <c r="AG27" s="9"/>
      <c r="AH27" s="9"/>
      <c r="AI27" s="9"/>
      <c r="AJ27" s="9"/>
      <c r="AK27" s="9"/>
      <c r="AL27" s="7"/>
      <c r="AM27" s="8"/>
      <c r="AN27" s="7"/>
      <c r="AO27" s="7"/>
      <c r="AP27" s="9"/>
      <c r="AQ27" s="9"/>
      <c r="AR27" s="9"/>
      <c r="AS27" s="9"/>
      <c r="AT27" s="9"/>
      <c r="AU27" s="7"/>
      <c r="AV27" s="8"/>
    </row>
    <row r="28" spans="1:48" s="2" customFormat="1" ht="86.25" customHeight="1" x14ac:dyDescent="0.25">
      <c r="A28" s="19">
        <v>10</v>
      </c>
      <c r="B28" s="156">
        <v>1</v>
      </c>
      <c r="C28" s="165"/>
      <c r="D28" s="183"/>
      <c r="E28" s="28" t="s">
        <v>316</v>
      </c>
      <c r="F28" s="28" t="s">
        <v>315</v>
      </c>
      <c r="G28" s="28" t="s">
        <v>32</v>
      </c>
      <c r="H28" s="19">
        <v>1981</v>
      </c>
      <c r="I28" s="19">
        <v>533.79999999999995</v>
      </c>
      <c r="J28" s="241" t="s">
        <v>11</v>
      </c>
      <c r="K28" s="242" t="s">
        <v>11</v>
      </c>
      <c r="L28" s="241">
        <v>2027</v>
      </c>
      <c r="M28" s="24"/>
      <c r="N28" s="195" t="s">
        <v>450</v>
      </c>
      <c r="O28" s="9"/>
      <c r="P28" s="230"/>
      <c r="Q28" s="229" t="s">
        <v>515</v>
      </c>
      <c r="R28" s="153"/>
      <c r="S28" s="9"/>
      <c r="T28" s="7"/>
      <c r="U28" s="7"/>
      <c r="V28" s="7"/>
      <c r="W28" s="7"/>
      <c r="X28" s="9"/>
      <c r="Y28" s="9"/>
      <c r="Z28" s="9"/>
      <c r="AA28" s="9"/>
      <c r="AB28" s="9"/>
      <c r="AC28" s="7"/>
      <c r="AD28" s="7"/>
      <c r="AE28" s="7"/>
      <c r="AF28" s="7"/>
      <c r="AG28" s="9"/>
      <c r="AH28" s="9"/>
      <c r="AI28" s="9"/>
      <c r="AJ28" s="9"/>
      <c r="AK28" s="9"/>
      <c r="AL28" s="7"/>
      <c r="AM28" s="8"/>
      <c r="AN28" s="7"/>
      <c r="AO28" s="7"/>
      <c r="AP28" s="9"/>
      <c r="AQ28" s="9"/>
      <c r="AR28" s="9"/>
      <c r="AS28" s="9"/>
      <c r="AT28" s="9"/>
      <c r="AU28" s="7"/>
      <c r="AV28" s="8"/>
    </row>
    <row r="29" spans="1:48" ht="15" customHeight="1" x14ac:dyDescent="0.2">
      <c r="A29" s="167" t="s">
        <v>74</v>
      </c>
      <c r="B29" s="9"/>
      <c r="C29" s="167"/>
      <c r="D29" s="181"/>
      <c r="E29" s="13"/>
      <c r="F29" s="13"/>
      <c r="G29" s="13"/>
      <c r="H29" s="9"/>
      <c r="I29" s="9"/>
      <c r="J29" s="161"/>
      <c r="K29" s="244"/>
      <c r="L29" s="163"/>
      <c r="M29" s="7"/>
      <c r="N29" s="7"/>
      <c r="O29" s="9"/>
      <c r="P29" s="230"/>
      <c r="Q29" s="229"/>
      <c r="R29" s="153"/>
      <c r="S29" s="9"/>
      <c r="T29" s="7"/>
      <c r="U29" s="7"/>
      <c r="V29" s="7"/>
      <c r="W29" s="7"/>
      <c r="X29" s="9"/>
      <c r="Y29" s="9"/>
      <c r="Z29" s="9"/>
      <c r="AA29" s="9"/>
      <c r="AB29" s="9"/>
      <c r="AC29" s="7"/>
      <c r="AD29" s="7"/>
      <c r="AE29" s="7"/>
      <c r="AF29" s="7"/>
      <c r="AG29" s="9"/>
      <c r="AH29" s="9"/>
      <c r="AI29" s="9"/>
      <c r="AJ29" s="9"/>
      <c r="AK29" s="9"/>
      <c r="AL29" s="7"/>
      <c r="AM29" s="8"/>
      <c r="AN29" s="7"/>
      <c r="AO29" s="7"/>
      <c r="AP29" s="9"/>
      <c r="AQ29" s="9"/>
      <c r="AR29" s="9"/>
      <c r="AS29" s="9"/>
      <c r="AT29" s="9"/>
      <c r="AU29" s="7"/>
      <c r="AV29" s="8"/>
    </row>
    <row r="30" spans="1:48" ht="72.75" customHeight="1" x14ac:dyDescent="0.2">
      <c r="A30" s="19">
        <v>11</v>
      </c>
      <c r="B30" s="156">
        <v>1</v>
      </c>
      <c r="C30" s="164" t="s">
        <v>309</v>
      </c>
      <c r="D30" s="182" t="s">
        <v>424</v>
      </c>
      <c r="E30" s="28" t="s">
        <v>97</v>
      </c>
      <c r="F30" s="28" t="s">
        <v>301</v>
      </c>
      <c r="G30" s="28" t="s">
        <v>98</v>
      </c>
      <c r="H30" s="19">
        <v>1981</v>
      </c>
      <c r="I30" s="19">
        <v>66.3</v>
      </c>
      <c r="J30" s="241" t="s">
        <v>9</v>
      </c>
      <c r="K30" s="242" t="s">
        <v>9</v>
      </c>
      <c r="L30" s="241">
        <v>2026</v>
      </c>
      <c r="M30" s="24"/>
      <c r="N30" s="24"/>
      <c r="O30" s="9"/>
      <c r="P30" s="230"/>
      <c r="Q30" s="229" t="s">
        <v>412</v>
      </c>
      <c r="R30" s="153"/>
      <c r="S30" s="9"/>
      <c r="T30" s="7"/>
      <c r="U30" s="7"/>
      <c r="V30" s="7"/>
      <c r="W30" s="7"/>
      <c r="X30" s="9"/>
      <c r="Y30" s="9"/>
      <c r="Z30" s="9"/>
      <c r="AA30" s="9"/>
      <c r="AB30" s="9"/>
      <c r="AC30" s="7"/>
      <c r="AD30" s="7"/>
      <c r="AE30" s="7"/>
      <c r="AF30" s="7"/>
      <c r="AG30" s="9"/>
      <c r="AH30" s="9"/>
      <c r="AI30" s="9"/>
      <c r="AJ30" s="9"/>
      <c r="AK30" s="9"/>
      <c r="AL30" s="7"/>
      <c r="AM30" s="8"/>
      <c r="AN30" s="7"/>
      <c r="AO30" s="7"/>
      <c r="AP30" s="9"/>
      <c r="AQ30" s="9"/>
      <c r="AR30" s="9"/>
      <c r="AS30" s="9"/>
      <c r="AT30" s="9"/>
      <c r="AU30" s="7"/>
      <c r="AV30" s="8"/>
    </row>
    <row r="31" spans="1:48" ht="73.5" customHeight="1" x14ac:dyDescent="0.2">
      <c r="A31" s="19">
        <v>12</v>
      </c>
      <c r="B31" s="156">
        <v>1</v>
      </c>
      <c r="C31" s="165"/>
      <c r="D31" s="183"/>
      <c r="E31" s="28" t="s">
        <v>99</v>
      </c>
      <c r="F31" s="28" t="s">
        <v>302</v>
      </c>
      <c r="G31" s="28" t="s">
        <v>80</v>
      </c>
      <c r="H31" s="19">
        <v>1981</v>
      </c>
      <c r="I31" s="19">
        <v>64.099999999999994</v>
      </c>
      <c r="J31" s="241" t="s">
        <v>9</v>
      </c>
      <c r="K31" s="242" t="s">
        <v>9</v>
      </c>
      <c r="L31" s="241">
        <v>2026</v>
      </c>
      <c r="M31" s="24"/>
      <c r="N31" s="24"/>
      <c r="O31" s="9"/>
      <c r="P31" s="230"/>
      <c r="Q31" s="229" t="s">
        <v>412</v>
      </c>
      <c r="R31" s="153"/>
      <c r="S31" s="9"/>
      <c r="T31" s="7"/>
      <c r="U31" s="7"/>
      <c r="V31" s="7"/>
      <c r="W31" s="7"/>
      <c r="X31" s="9"/>
      <c r="Y31" s="9"/>
      <c r="Z31" s="9"/>
      <c r="AA31" s="9"/>
      <c r="AB31" s="9"/>
      <c r="AC31" s="7"/>
      <c r="AD31" s="7"/>
      <c r="AE31" s="7"/>
      <c r="AF31" s="7"/>
      <c r="AG31" s="9"/>
      <c r="AH31" s="9"/>
      <c r="AI31" s="9"/>
      <c r="AJ31" s="9"/>
      <c r="AK31" s="9"/>
      <c r="AL31" s="7"/>
      <c r="AM31" s="8"/>
      <c r="AN31" s="7"/>
      <c r="AO31" s="7"/>
      <c r="AP31" s="9"/>
      <c r="AQ31" s="9"/>
      <c r="AR31" s="9"/>
      <c r="AS31" s="9"/>
      <c r="AT31" s="9"/>
      <c r="AU31" s="7"/>
      <c r="AV31" s="8"/>
    </row>
    <row r="32" spans="1:48" ht="93.75" customHeight="1" x14ac:dyDescent="0.2">
      <c r="A32" s="19">
        <v>13</v>
      </c>
      <c r="B32" s="19">
        <v>1</v>
      </c>
      <c r="C32" s="164" t="s">
        <v>310</v>
      </c>
      <c r="D32" s="182" t="s">
        <v>425</v>
      </c>
      <c r="E32" s="28" t="s">
        <v>361</v>
      </c>
      <c r="F32" s="28" t="s">
        <v>100</v>
      </c>
      <c r="G32" s="28" t="s">
        <v>60</v>
      </c>
      <c r="H32" s="19">
        <v>1982</v>
      </c>
      <c r="I32" s="19">
        <v>272.39999999999998</v>
      </c>
      <c r="J32" s="241" t="s">
        <v>61</v>
      </c>
      <c r="K32" s="242" t="s">
        <v>61</v>
      </c>
      <c r="L32" s="241">
        <v>2026</v>
      </c>
      <c r="M32" s="24"/>
      <c r="N32" s="24"/>
      <c r="O32" s="9"/>
      <c r="P32" s="230"/>
      <c r="Q32" s="229" t="s">
        <v>412</v>
      </c>
      <c r="R32" s="153"/>
      <c r="S32" s="9"/>
      <c r="T32" s="7"/>
      <c r="U32" s="7"/>
      <c r="V32" s="7"/>
      <c r="W32" s="7"/>
      <c r="X32" s="9"/>
      <c r="Y32" s="9"/>
      <c r="Z32" s="9"/>
      <c r="AA32" s="9"/>
      <c r="AB32" s="9"/>
      <c r="AC32" s="7"/>
      <c r="AD32" s="7"/>
      <c r="AE32" s="7"/>
      <c r="AF32" s="7"/>
      <c r="AG32" s="9"/>
      <c r="AH32" s="9"/>
      <c r="AI32" s="9"/>
      <c r="AJ32" s="9"/>
      <c r="AK32" s="9"/>
      <c r="AL32" s="7"/>
      <c r="AM32" s="8"/>
      <c r="AN32" s="7"/>
      <c r="AO32" s="7"/>
      <c r="AP32" s="9"/>
      <c r="AQ32" s="9"/>
      <c r="AR32" s="9"/>
      <c r="AS32" s="9"/>
      <c r="AT32" s="9"/>
      <c r="AU32" s="7"/>
      <c r="AV32" s="8"/>
    </row>
    <row r="33" spans="1:48" ht="85.15" customHeight="1" x14ac:dyDescent="0.2">
      <c r="A33" s="19">
        <f>A32+1</f>
        <v>14</v>
      </c>
      <c r="B33" s="19">
        <v>1</v>
      </c>
      <c r="C33" s="165"/>
      <c r="D33" s="183"/>
      <c r="E33" s="28" t="s">
        <v>362</v>
      </c>
      <c r="F33" s="28" t="s">
        <v>100</v>
      </c>
      <c r="G33" s="28" t="s">
        <v>60</v>
      </c>
      <c r="H33" s="19">
        <v>1977</v>
      </c>
      <c r="I33" s="19">
        <v>476.5</v>
      </c>
      <c r="J33" s="241" t="s">
        <v>61</v>
      </c>
      <c r="K33" s="242" t="s">
        <v>61</v>
      </c>
      <c r="L33" s="241">
        <v>2026</v>
      </c>
      <c r="M33" s="24"/>
      <c r="N33" s="24"/>
      <c r="O33" s="9"/>
      <c r="P33" s="230"/>
      <c r="Q33" s="229" t="s">
        <v>412</v>
      </c>
      <c r="R33" s="153"/>
      <c r="S33" s="9"/>
      <c r="T33" s="7"/>
      <c r="U33" s="7"/>
      <c r="V33" s="7"/>
      <c r="W33" s="7"/>
      <c r="X33" s="9"/>
      <c r="Y33" s="9"/>
      <c r="Z33" s="9"/>
      <c r="AA33" s="9"/>
      <c r="AB33" s="9"/>
      <c r="AC33" s="7"/>
      <c r="AD33" s="7"/>
      <c r="AE33" s="7"/>
      <c r="AF33" s="7"/>
      <c r="AG33" s="9"/>
      <c r="AH33" s="9"/>
      <c r="AI33" s="9"/>
      <c r="AJ33" s="9"/>
      <c r="AK33" s="9"/>
      <c r="AL33" s="7"/>
      <c r="AM33" s="8"/>
      <c r="AN33" s="7"/>
      <c r="AO33" s="7"/>
      <c r="AP33" s="9"/>
      <c r="AQ33" s="9"/>
      <c r="AR33" s="9"/>
      <c r="AS33" s="9"/>
      <c r="AT33" s="9"/>
      <c r="AU33" s="7"/>
      <c r="AV33" s="8"/>
    </row>
    <row r="34" spans="1:48" ht="66" customHeight="1" x14ac:dyDescent="0.2">
      <c r="A34" s="19">
        <f>A33+1</f>
        <v>15</v>
      </c>
      <c r="B34" s="19">
        <v>1</v>
      </c>
      <c r="C34" s="24" t="s">
        <v>413</v>
      </c>
      <c r="D34" s="180" t="s">
        <v>413</v>
      </c>
      <c r="E34" s="28" t="s">
        <v>363</v>
      </c>
      <c r="F34" s="28" t="s">
        <v>101</v>
      </c>
      <c r="G34" s="28" t="s">
        <v>284</v>
      </c>
      <c r="H34" s="19">
        <v>1983</v>
      </c>
      <c r="I34" s="19">
        <v>313</v>
      </c>
      <c r="J34" s="241" t="s">
        <v>11</v>
      </c>
      <c r="K34" s="242" t="s">
        <v>11</v>
      </c>
      <c r="L34" s="243">
        <v>2026</v>
      </c>
      <c r="M34" s="24"/>
      <c r="N34" s="24"/>
      <c r="O34" s="9"/>
      <c r="P34" s="230"/>
      <c r="Q34" s="229" t="s">
        <v>412</v>
      </c>
      <c r="R34" s="153"/>
      <c r="S34" s="9"/>
      <c r="T34" s="7"/>
      <c r="U34" s="7"/>
      <c r="V34" s="7"/>
      <c r="W34" s="7"/>
      <c r="X34" s="9"/>
      <c r="Y34" s="9"/>
      <c r="Z34" s="9"/>
      <c r="AA34" s="9"/>
      <c r="AB34" s="9"/>
      <c r="AC34" s="7"/>
      <c r="AD34" s="7"/>
      <c r="AE34" s="7"/>
      <c r="AF34" s="7"/>
      <c r="AG34" s="9"/>
      <c r="AH34" s="9"/>
      <c r="AI34" s="9"/>
      <c r="AJ34" s="9"/>
      <c r="AK34" s="9"/>
      <c r="AL34" s="7"/>
      <c r="AM34" s="8"/>
      <c r="AN34" s="7"/>
      <c r="AO34" s="7"/>
      <c r="AP34" s="9"/>
      <c r="AQ34" s="9"/>
      <c r="AR34" s="9"/>
      <c r="AS34" s="9"/>
      <c r="AT34" s="9"/>
      <c r="AU34" s="7"/>
      <c r="AV34" s="8"/>
    </row>
    <row r="35" spans="1:48" ht="13.5" customHeight="1" x14ac:dyDescent="0.2">
      <c r="A35" s="25" t="s">
        <v>415</v>
      </c>
      <c r="B35" s="19"/>
      <c r="C35" s="25"/>
      <c r="D35" s="180"/>
      <c r="E35" s="28"/>
      <c r="F35" s="28"/>
      <c r="G35" s="28"/>
      <c r="H35" s="19"/>
      <c r="I35" s="19"/>
      <c r="J35" s="241"/>
      <c r="K35" s="242"/>
      <c r="L35" s="241"/>
      <c r="M35" s="24"/>
      <c r="N35" s="24"/>
      <c r="O35" s="9"/>
      <c r="P35" s="230"/>
      <c r="Q35" s="229"/>
      <c r="R35" s="153"/>
      <c r="S35" s="9"/>
      <c r="T35" s="7"/>
      <c r="U35" s="7"/>
      <c r="V35" s="7"/>
      <c r="W35" s="7"/>
      <c r="X35" s="9"/>
      <c r="Y35" s="9"/>
      <c r="Z35" s="9"/>
      <c r="AA35" s="9"/>
      <c r="AB35" s="9"/>
      <c r="AC35" s="7"/>
      <c r="AD35" s="7"/>
      <c r="AE35" s="7"/>
      <c r="AF35" s="7"/>
      <c r="AG35" s="9"/>
      <c r="AH35" s="9"/>
      <c r="AI35" s="9"/>
      <c r="AJ35" s="9"/>
      <c r="AK35" s="9"/>
      <c r="AL35" s="7"/>
      <c r="AM35" s="8"/>
      <c r="AN35" s="7"/>
      <c r="AO35" s="7"/>
      <c r="AP35" s="9"/>
      <c r="AQ35" s="9"/>
      <c r="AR35" s="9"/>
      <c r="AS35" s="9"/>
      <c r="AT35" s="9"/>
      <c r="AU35" s="7"/>
      <c r="AV35" s="8"/>
    </row>
    <row r="36" spans="1:48" s="2" customFormat="1" ht="63" customHeight="1" x14ac:dyDescent="0.25">
      <c r="A36" s="19">
        <f>A34+1</f>
        <v>16</v>
      </c>
      <c r="B36" s="156">
        <v>1</v>
      </c>
      <c r="C36" s="164" t="s">
        <v>303</v>
      </c>
      <c r="D36" s="182" t="s">
        <v>426</v>
      </c>
      <c r="E36" s="28" t="s">
        <v>296</v>
      </c>
      <c r="F36" s="28" t="s">
        <v>102</v>
      </c>
      <c r="G36" s="28" t="s">
        <v>281</v>
      </c>
      <c r="H36" s="19">
        <v>1981</v>
      </c>
      <c r="I36" s="19">
        <v>120</v>
      </c>
      <c r="J36" s="241" t="s">
        <v>11</v>
      </c>
      <c r="K36" s="242" t="s">
        <v>11</v>
      </c>
      <c r="L36" s="243">
        <v>2027</v>
      </c>
      <c r="M36" s="24"/>
      <c r="N36" s="24"/>
      <c r="O36" s="9"/>
      <c r="P36" s="230"/>
      <c r="Q36" s="229" t="s">
        <v>414</v>
      </c>
      <c r="R36" s="153"/>
      <c r="S36" s="9"/>
      <c r="T36" s="7"/>
      <c r="U36" s="7"/>
      <c r="V36" s="7"/>
      <c r="W36" s="7"/>
      <c r="X36" s="9"/>
      <c r="Y36" s="9"/>
      <c r="Z36" s="9"/>
      <c r="AA36" s="9"/>
      <c r="AB36" s="9"/>
      <c r="AC36" s="7"/>
      <c r="AD36" s="7"/>
      <c r="AE36" s="7"/>
      <c r="AF36" s="7"/>
      <c r="AG36" s="9"/>
      <c r="AH36" s="9"/>
      <c r="AI36" s="9"/>
      <c r="AJ36" s="9"/>
      <c r="AK36" s="9"/>
      <c r="AL36" s="7"/>
      <c r="AM36" s="8"/>
      <c r="AN36" s="7"/>
      <c r="AO36" s="7"/>
      <c r="AP36" s="9"/>
      <c r="AQ36" s="9"/>
      <c r="AR36" s="9"/>
      <c r="AS36" s="9"/>
      <c r="AT36" s="9"/>
      <c r="AU36" s="7"/>
      <c r="AV36" s="8"/>
    </row>
    <row r="37" spans="1:48" s="2" customFormat="1" ht="57" customHeight="1" x14ac:dyDescent="0.25">
      <c r="A37" s="19">
        <v>17</v>
      </c>
      <c r="B37" s="156">
        <v>1</v>
      </c>
      <c r="C37" s="166"/>
      <c r="D37" s="184"/>
      <c r="E37" s="28" t="s">
        <v>27</v>
      </c>
      <c r="F37" s="28" t="s">
        <v>13</v>
      </c>
      <c r="G37" s="28" t="s">
        <v>66</v>
      </c>
      <c r="H37" s="19">
        <v>1983</v>
      </c>
      <c r="I37" s="19">
        <v>690</v>
      </c>
      <c r="J37" s="241" t="s">
        <v>11</v>
      </c>
      <c r="K37" s="242" t="s">
        <v>11</v>
      </c>
      <c r="L37" s="243">
        <v>2027</v>
      </c>
      <c r="M37" s="24"/>
      <c r="N37" s="24"/>
      <c r="O37" s="9"/>
      <c r="P37" s="230"/>
      <c r="Q37" s="229" t="s">
        <v>414</v>
      </c>
      <c r="R37" s="153"/>
      <c r="S37" s="9"/>
      <c r="T37" s="7"/>
      <c r="U37" s="7"/>
      <c r="V37" s="7"/>
      <c r="W37" s="7"/>
      <c r="X37" s="9"/>
      <c r="Y37" s="9"/>
      <c r="Z37" s="9"/>
      <c r="AA37" s="9"/>
      <c r="AB37" s="9"/>
      <c r="AC37" s="7"/>
      <c r="AD37" s="7"/>
      <c r="AE37" s="7"/>
      <c r="AF37" s="7"/>
      <c r="AG37" s="9"/>
      <c r="AH37" s="9"/>
      <c r="AI37" s="9"/>
      <c r="AJ37" s="9"/>
      <c r="AK37" s="9"/>
      <c r="AL37" s="7"/>
      <c r="AM37" s="8"/>
      <c r="AN37" s="7"/>
      <c r="AO37" s="7"/>
      <c r="AP37" s="9"/>
      <c r="AQ37" s="9"/>
      <c r="AR37" s="9"/>
      <c r="AS37" s="9"/>
      <c r="AT37" s="9"/>
      <c r="AU37" s="7"/>
      <c r="AV37" s="8"/>
    </row>
    <row r="38" spans="1:48" s="2" customFormat="1" ht="57" customHeight="1" x14ac:dyDescent="0.25">
      <c r="A38" s="19">
        <f t="shared" ref="A38:A101" si="0">A37+1</f>
        <v>18</v>
      </c>
      <c r="B38" s="156">
        <v>1</v>
      </c>
      <c r="C38" s="166"/>
      <c r="D38" s="184"/>
      <c r="E38" s="28" t="s">
        <v>103</v>
      </c>
      <c r="F38" s="28" t="s">
        <v>104</v>
      </c>
      <c r="G38" s="28" t="s">
        <v>282</v>
      </c>
      <c r="H38" s="19">
        <v>1984</v>
      </c>
      <c r="I38" s="19">
        <v>1200</v>
      </c>
      <c r="J38" s="241" t="s">
        <v>11</v>
      </c>
      <c r="K38" s="242" t="s">
        <v>11</v>
      </c>
      <c r="L38" s="243">
        <v>2027</v>
      </c>
      <c r="M38" s="24"/>
      <c r="N38" s="24"/>
      <c r="O38" s="9"/>
      <c r="P38" s="230"/>
      <c r="Q38" s="229" t="s">
        <v>414</v>
      </c>
      <c r="R38" s="153"/>
      <c r="S38" s="9"/>
      <c r="T38" s="7"/>
      <c r="U38" s="7"/>
      <c r="V38" s="7"/>
      <c r="W38" s="7"/>
      <c r="X38" s="9"/>
      <c r="Y38" s="9"/>
      <c r="Z38" s="9"/>
      <c r="AA38" s="9"/>
      <c r="AB38" s="9"/>
      <c r="AC38" s="7"/>
      <c r="AD38" s="7"/>
      <c r="AE38" s="7"/>
      <c r="AF38" s="7"/>
      <c r="AG38" s="9"/>
      <c r="AH38" s="9"/>
      <c r="AI38" s="9"/>
      <c r="AJ38" s="9"/>
      <c r="AK38" s="9"/>
      <c r="AL38" s="7"/>
      <c r="AM38" s="8"/>
      <c r="AN38" s="7"/>
      <c r="AO38" s="7"/>
      <c r="AP38" s="9"/>
      <c r="AQ38" s="9"/>
      <c r="AR38" s="9"/>
      <c r="AS38" s="9"/>
      <c r="AT38" s="9"/>
      <c r="AU38" s="7"/>
      <c r="AV38" s="8"/>
    </row>
    <row r="39" spans="1:48" s="2" customFormat="1" ht="56.25" customHeight="1" x14ac:dyDescent="0.25">
      <c r="A39" s="19">
        <f t="shared" si="0"/>
        <v>19</v>
      </c>
      <c r="B39" s="156">
        <v>1</v>
      </c>
      <c r="C39" s="166"/>
      <c r="D39" s="184"/>
      <c r="E39" s="28" t="s">
        <v>111</v>
      </c>
      <c r="F39" s="28" t="s">
        <v>105</v>
      </c>
      <c r="G39" s="28" t="s">
        <v>282</v>
      </c>
      <c r="H39" s="19">
        <v>1984</v>
      </c>
      <c r="I39" s="19">
        <v>90</v>
      </c>
      <c r="J39" s="241" t="s">
        <v>11</v>
      </c>
      <c r="K39" s="242" t="s">
        <v>11</v>
      </c>
      <c r="L39" s="243">
        <v>2027</v>
      </c>
      <c r="M39" s="24"/>
      <c r="N39" s="24"/>
      <c r="O39" s="9"/>
      <c r="P39" s="230"/>
      <c r="Q39" s="229" t="s">
        <v>414</v>
      </c>
      <c r="R39" s="153"/>
      <c r="S39" s="9"/>
      <c r="T39" s="7"/>
      <c r="U39" s="7"/>
      <c r="V39" s="7"/>
      <c r="W39" s="7"/>
      <c r="X39" s="9"/>
      <c r="Y39" s="9"/>
      <c r="Z39" s="9"/>
      <c r="AA39" s="9"/>
      <c r="AB39" s="9"/>
      <c r="AC39" s="7"/>
      <c r="AD39" s="7"/>
      <c r="AE39" s="7"/>
      <c r="AF39" s="7"/>
      <c r="AG39" s="9"/>
      <c r="AH39" s="9"/>
      <c r="AI39" s="9"/>
      <c r="AJ39" s="9"/>
      <c r="AK39" s="9"/>
      <c r="AL39" s="7"/>
      <c r="AM39" s="8"/>
      <c r="AN39" s="7"/>
      <c r="AO39" s="7"/>
      <c r="AP39" s="9"/>
      <c r="AQ39" s="9"/>
      <c r="AR39" s="9"/>
      <c r="AS39" s="9"/>
      <c r="AT39" s="9"/>
      <c r="AU39" s="7"/>
      <c r="AV39" s="8"/>
    </row>
    <row r="40" spans="1:48" s="2" customFormat="1" ht="48" customHeight="1" x14ac:dyDescent="0.25">
      <c r="A40" s="19">
        <f t="shared" si="0"/>
        <v>20</v>
      </c>
      <c r="B40" s="156">
        <v>1</v>
      </c>
      <c r="C40" s="166"/>
      <c r="D40" s="184"/>
      <c r="E40" s="28" t="s">
        <v>106</v>
      </c>
      <c r="F40" s="28" t="s">
        <v>105</v>
      </c>
      <c r="G40" s="28" t="s">
        <v>282</v>
      </c>
      <c r="H40" s="19">
        <v>1985</v>
      </c>
      <c r="I40" s="19">
        <v>2800</v>
      </c>
      <c r="J40" s="241" t="s">
        <v>9</v>
      </c>
      <c r="K40" s="242" t="s">
        <v>9</v>
      </c>
      <c r="L40" s="243">
        <v>2027</v>
      </c>
      <c r="M40" s="24"/>
      <c r="N40" s="24"/>
      <c r="O40" s="9"/>
      <c r="P40" s="230"/>
      <c r="Q40" s="229" t="s">
        <v>414</v>
      </c>
      <c r="R40" s="153"/>
      <c r="S40" s="9"/>
      <c r="T40" s="7"/>
      <c r="U40" s="7"/>
      <c r="V40" s="7"/>
      <c r="W40" s="7"/>
      <c r="X40" s="9"/>
      <c r="Y40" s="9"/>
      <c r="Z40" s="9"/>
      <c r="AA40" s="9"/>
      <c r="AB40" s="9"/>
      <c r="AC40" s="7"/>
      <c r="AD40" s="7"/>
      <c r="AE40" s="7"/>
      <c r="AF40" s="7"/>
      <c r="AG40" s="9"/>
      <c r="AH40" s="9"/>
      <c r="AI40" s="9"/>
      <c r="AJ40" s="9"/>
      <c r="AK40" s="9"/>
      <c r="AL40" s="7"/>
      <c r="AM40" s="8"/>
      <c r="AN40" s="7"/>
      <c r="AO40" s="7"/>
      <c r="AP40" s="9"/>
      <c r="AQ40" s="9"/>
      <c r="AR40" s="9"/>
      <c r="AS40" s="9"/>
      <c r="AT40" s="9"/>
      <c r="AU40" s="7"/>
      <c r="AV40" s="8"/>
    </row>
    <row r="41" spans="1:48" s="2" customFormat="1" ht="48" customHeight="1" x14ac:dyDescent="0.25">
      <c r="A41" s="19">
        <f t="shared" si="0"/>
        <v>21</v>
      </c>
      <c r="B41" s="156">
        <v>1</v>
      </c>
      <c r="C41" s="166"/>
      <c r="D41" s="184"/>
      <c r="E41" s="28" t="s">
        <v>107</v>
      </c>
      <c r="F41" s="28" t="s">
        <v>196</v>
      </c>
      <c r="G41" s="28" t="s">
        <v>282</v>
      </c>
      <c r="H41" s="19">
        <v>1987</v>
      </c>
      <c r="I41" s="19">
        <v>250</v>
      </c>
      <c r="J41" s="241" t="s">
        <v>11</v>
      </c>
      <c r="K41" s="242" t="s">
        <v>11</v>
      </c>
      <c r="L41" s="243">
        <v>2026</v>
      </c>
      <c r="M41" s="24"/>
      <c r="N41" s="24"/>
      <c r="O41" s="9"/>
      <c r="P41" s="230"/>
      <c r="Q41" s="229" t="s">
        <v>414</v>
      </c>
      <c r="R41" s="153"/>
      <c r="S41" s="9"/>
      <c r="T41" s="7"/>
      <c r="U41" s="7"/>
      <c r="V41" s="7"/>
      <c r="W41" s="7"/>
      <c r="X41" s="9"/>
      <c r="Y41" s="9"/>
      <c r="Z41" s="9"/>
      <c r="AA41" s="9"/>
      <c r="AB41" s="9"/>
      <c r="AC41" s="7"/>
      <c r="AD41" s="7"/>
      <c r="AE41" s="7"/>
      <c r="AF41" s="7"/>
      <c r="AG41" s="9"/>
      <c r="AH41" s="9"/>
      <c r="AI41" s="9"/>
      <c r="AJ41" s="9"/>
      <c r="AK41" s="9"/>
      <c r="AL41" s="7"/>
      <c r="AM41" s="8"/>
      <c r="AN41" s="7"/>
      <c r="AO41" s="7"/>
      <c r="AP41" s="9"/>
      <c r="AQ41" s="9"/>
      <c r="AR41" s="9"/>
      <c r="AS41" s="9"/>
      <c r="AT41" s="9"/>
      <c r="AU41" s="7"/>
      <c r="AV41" s="8"/>
    </row>
    <row r="42" spans="1:48" s="2" customFormat="1" ht="48" customHeight="1" x14ac:dyDescent="0.25">
      <c r="A42" s="19">
        <f t="shared" si="0"/>
        <v>22</v>
      </c>
      <c r="B42" s="156">
        <v>1</v>
      </c>
      <c r="C42" s="166"/>
      <c r="D42" s="184"/>
      <c r="E42" s="28" t="s">
        <v>108</v>
      </c>
      <c r="F42" s="28" t="s">
        <v>109</v>
      </c>
      <c r="G42" s="28" t="s">
        <v>282</v>
      </c>
      <c r="H42" s="19">
        <v>1975</v>
      </c>
      <c r="I42" s="19">
        <v>800</v>
      </c>
      <c r="J42" s="241" t="s">
        <v>11</v>
      </c>
      <c r="K42" s="242" t="s">
        <v>11</v>
      </c>
      <c r="L42" s="243">
        <v>2027</v>
      </c>
      <c r="M42" s="24"/>
      <c r="N42" s="24"/>
      <c r="O42" s="9"/>
      <c r="P42" s="230"/>
      <c r="Q42" s="229" t="s">
        <v>414</v>
      </c>
      <c r="R42" s="153"/>
      <c r="S42" s="9"/>
      <c r="T42" s="7"/>
      <c r="U42" s="7"/>
      <c r="V42" s="7"/>
      <c r="W42" s="7"/>
      <c r="X42" s="9"/>
      <c r="Y42" s="9"/>
      <c r="Z42" s="9"/>
      <c r="AA42" s="9"/>
      <c r="AB42" s="9"/>
      <c r="AC42" s="7"/>
      <c r="AD42" s="7"/>
      <c r="AE42" s="7"/>
      <c r="AF42" s="7"/>
      <c r="AG42" s="9"/>
      <c r="AH42" s="9"/>
      <c r="AI42" s="9"/>
      <c r="AJ42" s="9"/>
      <c r="AK42" s="9"/>
      <c r="AL42" s="7"/>
      <c r="AM42" s="8"/>
      <c r="AN42" s="7"/>
      <c r="AO42" s="7"/>
      <c r="AP42" s="9"/>
      <c r="AQ42" s="9"/>
      <c r="AR42" s="9"/>
      <c r="AS42" s="9"/>
      <c r="AT42" s="9"/>
      <c r="AU42" s="7"/>
      <c r="AV42" s="8"/>
    </row>
    <row r="43" spans="1:48" s="2" customFormat="1" ht="48" customHeight="1" x14ac:dyDescent="0.25">
      <c r="A43" s="19">
        <f t="shared" si="0"/>
        <v>23</v>
      </c>
      <c r="B43" s="156">
        <v>1</v>
      </c>
      <c r="C43" s="166"/>
      <c r="D43" s="183"/>
      <c r="E43" s="28" t="s">
        <v>110</v>
      </c>
      <c r="F43" s="28" t="s">
        <v>112</v>
      </c>
      <c r="G43" s="28" t="s">
        <v>282</v>
      </c>
      <c r="H43" s="19">
        <v>1991</v>
      </c>
      <c r="I43" s="19">
        <v>800</v>
      </c>
      <c r="J43" s="241" t="s">
        <v>11</v>
      </c>
      <c r="K43" s="242" t="s">
        <v>11</v>
      </c>
      <c r="L43" s="243">
        <v>2027</v>
      </c>
      <c r="M43" s="24"/>
      <c r="N43" s="24"/>
      <c r="O43" s="9"/>
      <c r="P43" s="230"/>
      <c r="Q43" s="229" t="s">
        <v>414</v>
      </c>
      <c r="R43" s="153"/>
      <c r="S43" s="9"/>
      <c r="T43" s="7"/>
      <c r="U43" s="7"/>
      <c r="V43" s="7"/>
      <c r="W43" s="7"/>
      <c r="X43" s="9"/>
      <c r="Y43" s="9"/>
      <c r="Z43" s="9"/>
      <c r="AA43" s="9"/>
      <c r="AB43" s="9"/>
      <c r="AC43" s="7"/>
      <c r="AD43" s="7"/>
      <c r="AE43" s="7"/>
      <c r="AF43" s="7"/>
      <c r="AG43" s="9"/>
      <c r="AH43" s="9"/>
      <c r="AI43" s="9"/>
      <c r="AJ43" s="9"/>
      <c r="AK43" s="9"/>
      <c r="AL43" s="7"/>
      <c r="AM43" s="8"/>
      <c r="AN43" s="7"/>
      <c r="AO43" s="7"/>
      <c r="AP43" s="9"/>
      <c r="AQ43" s="9"/>
      <c r="AR43" s="9"/>
      <c r="AS43" s="9"/>
      <c r="AT43" s="9"/>
      <c r="AU43" s="7"/>
      <c r="AV43" s="8"/>
    </row>
    <row r="44" spans="1:48" s="2" customFormat="1" ht="48" customHeight="1" x14ac:dyDescent="0.25">
      <c r="A44" s="19">
        <f>A43+1</f>
        <v>24</v>
      </c>
      <c r="B44" s="156">
        <v>1</v>
      </c>
      <c r="C44" s="164" t="s">
        <v>304</v>
      </c>
      <c r="D44" s="184"/>
      <c r="E44" s="28" t="s">
        <v>341</v>
      </c>
      <c r="F44" s="28" t="s">
        <v>114</v>
      </c>
      <c r="G44" s="28" t="s">
        <v>282</v>
      </c>
      <c r="H44" s="19">
        <v>1982</v>
      </c>
      <c r="I44" s="19">
        <v>800</v>
      </c>
      <c r="J44" s="241" t="s">
        <v>11</v>
      </c>
      <c r="K44" s="242" t="s">
        <v>11</v>
      </c>
      <c r="L44" s="243">
        <v>2027</v>
      </c>
      <c r="M44" s="24"/>
      <c r="N44" s="24"/>
      <c r="O44" s="9"/>
      <c r="P44" s="230"/>
      <c r="Q44" s="229" t="s">
        <v>414</v>
      </c>
      <c r="R44" s="153"/>
      <c r="S44" s="9"/>
      <c r="T44" s="7"/>
      <c r="U44" s="7"/>
      <c r="V44" s="7"/>
      <c r="W44" s="7"/>
      <c r="X44" s="9"/>
      <c r="Y44" s="9"/>
      <c r="Z44" s="9"/>
      <c r="AA44" s="9"/>
      <c r="AB44" s="9"/>
      <c r="AC44" s="7"/>
      <c r="AD44" s="7"/>
      <c r="AE44" s="7"/>
      <c r="AF44" s="7"/>
      <c r="AG44" s="9"/>
      <c r="AH44" s="9"/>
      <c r="AI44" s="9"/>
      <c r="AJ44" s="9"/>
      <c r="AK44" s="9"/>
      <c r="AL44" s="7"/>
      <c r="AM44" s="8"/>
      <c r="AN44" s="7"/>
      <c r="AO44" s="7"/>
      <c r="AP44" s="9"/>
      <c r="AQ44" s="9"/>
      <c r="AR44" s="9"/>
      <c r="AS44" s="9"/>
      <c r="AT44" s="9"/>
      <c r="AU44" s="7"/>
      <c r="AV44" s="8"/>
    </row>
    <row r="45" spans="1:48" s="2" customFormat="1" ht="48" customHeight="1" x14ac:dyDescent="0.25">
      <c r="A45" s="19">
        <f t="shared" si="0"/>
        <v>25</v>
      </c>
      <c r="B45" s="156">
        <v>1</v>
      </c>
      <c r="C45" s="166"/>
      <c r="D45" s="184"/>
      <c r="E45" s="28" t="s">
        <v>2</v>
      </c>
      <c r="F45" s="28" t="s">
        <v>113</v>
      </c>
      <c r="G45" s="28" t="s">
        <v>282</v>
      </c>
      <c r="H45" s="19">
        <v>1980</v>
      </c>
      <c r="I45" s="19">
        <v>320</v>
      </c>
      <c r="J45" s="241" t="s">
        <v>11</v>
      </c>
      <c r="K45" s="242" t="s">
        <v>11</v>
      </c>
      <c r="L45" s="243">
        <v>2027</v>
      </c>
      <c r="M45" s="24"/>
      <c r="N45" s="24"/>
      <c r="O45" s="9"/>
      <c r="P45" s="230"/>
      <c r="Q45" s="229" t="s">
        <v>414</v>
      </c>
      <c r="R45" s="153"/>
      <c r="S45" s="9"/>
      <c r="T45" s="7"/>
      <c r="U45" s="7"/>
      <c r="V45" s="7"/>
      <c r="W45" s="7"/>
      <c r="X45" s="9"/>
      <c r="Y45" s="9"/>
      <c r="Z45" s="9"/>
      <c r="AA45" s="9"/>
      <c r="AB45" s="9"/>
      <c r="AC45" s="7"/>
      <c r="AD45" s="7"/>
      <c r="AE45" s="7"/>
      <c r="AF45" s="7"/>
      <c r="AG45" s="9"/>
      <c r="AH45" s="9"/>
      <c r="AI45" s="9"/>
      <c r="AJ45" s="9"/>
      <c r="AK45" s="9"/>
      <c r="AL45" s="7"/>
      <c r="AM45" s="8"/>
      <c r="AN45" s="7"/>
      <c r="AO45" s="7"/>
      <c r="AP45" s="9"/>
      <c r="AQ45" s="9"/>
      <c r="AR45" s="9"/>
      <c r="AS45" s="9"/>
      <c r="AT45" s="9"/>
      <c r="AU45" s="7"/>
      <c r="AV45" s="8"/>
    </row>
    <row r="46" spans="1:48" s="2" customFormat="1" ht="48" customHeight="1" x14ac:dyDescent="0.25">
      <c r="A46" s="19">
        <f t="shared" si="0"/>
        <v>26</v>
      </c>
      <c r="B46" s="156">
        <v>1</v>
      </c>
      <c r="C46" s="166"/>
      <c r="D46" s="184"/>
      <c r="E46" s="28" t="s">
        <v>39</v>
      </c>
      <c r="F46" s="28" t="s">
        <v>115</v>
      </c>
      <c r="G46" s="28" t="s">
        <v>282</v>
      </c>
      <c r="H46" s="19">
        <v>1990</v>
      </c>
      <c r="I46" s="19">
        <v>190</v>
      </c>
      <c r="J46" s="241" t="s">
        <v>11</v>
      </c>
      <c r="K46" s="242" t="s">
        <v>11</v>
      </c>
      <c r="L46" s="243">
        <v>2027</v>
      </c>
      <c r="M46" s="24"/>
      <c r="N46" s="24"/>
      <c r="O46" s="9"/>
      <c r="P46" s="230" t="s">
        <v>483</v>
      </c>
      <c r="Q46" s="229" t="s">
        <v>414</v>
      </c>
      <c r="R46" s="153"/>
      <c r="S46" s="9"/>
      <c r="T46" s="7"/>
      <c r="U46" s="7"/>
      <c r="V46" s="7"/>
      <c r="W46" s="7"/>
      <c r="X46" s="9"/>
      <c r="Y46" s="9"/>
      <c r="Z46" s="9"/>
      <c r="AA46" s="9"/>
      <c r="AB46" s="9"/>
      <c r="AC46" s="7"/>
      <c r="AD46" s="7"/>
      <c r="AE46" s="7"/>
      <c r="AF46" s="7"/>
      <c r="AG46" s="9"/>
      <c r="AH46" s="9"/>
      <c r="AI46" s="9"/>
      <c r="AJ46" s="9"/>
      <c r="AK46" s="9"/>
      <c r="AL46" s="7"/>
      <c r="AM46" s="8"/>
      <c r="AN46" s="7"/>
      <c r="AO46" s="7"/>
      <c r="AP46" s="9"/>
      <c r="AQ46" s="9"/>
      <c r="AR46" s="9"/>
      <c r="AS46" s="9"/>
      <c r="AT46" s="9"/>
      <c r="AU46" s="7"/>
      <c r="AV46" s="8"/>
    </row>
    <row r="47" spans="1:48" s="2" customFormat="1" ht="48" customHeight="1" x14ac:dyDescent="0.25">
      <c r="A47" s="19">
        <f t="shared" si="0"/>
        <v>27</v>
      </c>
      <c r="B47" s="156">
        <v>1</v>
      </c>
      <c r="C47" s="166"/>
      <c r="D47" s="183"/>
      <c r="E47" s="28" t="s">
        <v>7</v>
      </c>
      <c r="F47" s="28" t="s">
        <v>116</v>
      </c>
      <c r="G47" s="28" t="s">
        <v>284</v>
      </c>
      <c r="H47" s="19">
        <v>1979</v>
      </c>
      <c r="I47" s="19">
        <v>130</v>
      </c>
      <c r="J47" s="241" t="s">
        <v>11</v>
      </c>
      <c r="K47" s="242" t="s">
        <v>11</v>
      </c>
      <c r="L47" s="243">
        <v>2027</v>
      </c>
      <c r="M47" s="24"/>
      <c r="N47" s="24"/>
      <c r="O47" s="9"/>
      <c r="P47" s="230"/>
      <c r="Q47" s="229" t="s">
        <v>414</v>
      </c>
      <c r="R47" s="153"/>
      <c r="S47" s="9"/>
      <c r="T47" s="7"/>
      <c r="U47" s="7"/>
      <c r="V47" s="7"/>
      <c r="W47" s="7"/>
      <c r="X47" s="9"/>
      <c r="Y47" s="9"/>
      <c r="Z47" s="9"/>
      <c r="AA47" s="9"/>
      <c r="AB47" s="9"/>
      <c r="AC47" s="7"/>
      <c r="AD47" s="7"/>
      <c r="AE47" s="7"/>
      <c r="AF47" s="7"/>
      <c r="AG47" s="9"/>
      <c r="AH47" s="9"/>
      <c r="AI47" s="9"/>
      <c r="AJ47" s="9"/>
      <c r="AK47" s="9"/>
      <c r="AL47" s="7"/>
      <c r="AM47" s="8"/>
      <c r="AN47" s="7"/>
      <c r="AO47" s="7"/>
      <c r="AP47" s="9"/>
      <c r="AQ47" s="9"/>
      <c r="AR47" s="9"/>
      <c r="AS47" s="9"/>
      <c r="AT47" s="9"/>
      <c r="AU47" s="7"/>
      <c r="AV47" s="8"/>
    </row>
    <row r="48" spans="1:48" s="3" customFormat="1" ht="71.25" customHeight="1" x14ac:dyDescent="0.25">
      <c r="A48" s="19">
        <f t="shared" si="0"/>
        <v>28</v>
      </c>
      <c r="B48" s="156">
        <v>1</v>
      </c>
      <c r="C48" s="164" t="s">
        <v>305</v>
      </c>
      <c r="D48" s="182" t="s">
        <v>427</v>
      </c>
      <c r="E48" s="28" t="s">
        <v>45</v>
      </c>
      <c r="F48" s="28" t="s">
        <v>117</v>
      </c>
      <c r="G48" s="28" t="s">
        <v>29</v>
      </c>
      <c r="H48" s="19">
        <v>1980</v>
      </c>
      <c r="I48" s="19">
        <v>100</v>
      </c>
      <c r="J48" s="241" t="s">
        <v>11</v>
      </c>
      <c r="K48" s="242" t="s">
        <v>11</v>
      </c>
      <c r="L48" s="243">
        <v>2027</v>
      </c>
      <c r="M48" s="24"/>
      <c r="N48" s="24"/>
      <c r="O48" s="12"/>
      <c r="P48" s="230"/>
      <c r="Q48" s="229" t="s">
        <v>414</v>
      </c>
      <c r="R48" s="153"/>
      <c r="S48" s="12"/>
      <c r="T48" s="10"/>
      <c r="U48" s="10"/>
      <c r="V48" s="10"/>
      <c r="W48" s="10"/>
      <c r="X48" s="12"/>
      <c r="Y48" s="12"/>
      <c r="Z48" s="12"/>
      <c r="AA48" s="12"/>
      <c r="AB48" s="12"/>
      <c r="AC48" s="10"/>
      <c r="AD48" s="10"/>
      <c r="AE48" s="10"/>
      <c r="AF48" s="10"/>
      <c r="AG48" s="12"/>
      <c r="AH48" s="12"/>
      <c r="AI48" s="12"/>
      <c r="AJ48" s="12"/>
      <c r="AK48" s="12"/>
      <c r="AL48" s="10"/>
      <c r="AM48" s="11"/>
      <c r="AN48" s="10"/>
      <c r="AO48" s="10"/>
      <c r="AP48" s="12"/>
      <c r="AQ48" s="12"/>
      <c r="AR48" s="12"/>
      <c r="AS48" s="12"/>
      <c r="AT48" s="12"/>
      <c r="AU48" s="10"/>
      <c r="AV48" s="11"/>
    </row>
    <row r="49" spans="1:48" s="3" customFormat="1" ht="59.25" customHeight="1" x14ac:dyDescent="0.25">
      <c r="A49" s="19">
        <f>A48+1</f>
        <v>29</v>
      </c>
      <c r="B49" s="156">
        <v>1</v>
      </c>
      <c r="C49" s="166"/>
      <c r="D49" s="184"/>
      <c r="E49" s="28" t="s">
        <v>37</v>
      </c>
      <c r="F49" s="28" t="s">
        <v>118</v>
      </c>
      <c r="G49" s="28" t="s">
        <v>282</v>
      </c>
      <c r="H49" s="19">
        <v>2000</v>
      </c>
      <c r="I49" s="19">
        <v>25.5</v>
      </c>
      <c r="J49" s="241" t="s">
        <v>11</v>
      </c>
      <c r="K49" s="242" t="s">
        <v>11</v>
      </c>
      <c r="L49" s="243">
        <v>2027</v>
      </c>
      <c r="M49" s="24"/>
      <c r="N49" s="24"/>
      <c r="O49" s="9"/>
      <c r="P49" s="230"/>
      <c r="Q49" s="229" t="s">
        <v>414</v>
      </c>
      <c r="R49" s="153"/>
      <c r="S49" s="9"/>
      <c r="T49" s="7"/>
      <c r="U49" s="7"/>
      <c r="V49" s="7"/>
      <c r="W49" s="7"/>
      <c r="X49" s="9"/>
      <c r="Y49" s="9"/>
      <c r="Z49" s="9"/>
      <c r="AA49" s="9"/>
      <c r="AB49" s="9"/>
      <c r="AC49" s="7"/>
      <c r="AD49" s="7"/>
      <c r="AE49" s="7"/>
      <c r="AF49" s="7"/>
      <c r="AG49" s="9"/>
      <c r="AH49" s="9"/>
      <c r="AI49" s="9"/>
      <c r="AJ49" s="9"/>
      <c r="AK49" s="9"/>
      <c r="AL49" s="7"/>
      <c r="AM49" s="8"/>
      <c r="AN49" s="7"/>
      <c r="AO49" s="7"/>
      <c r="AP49" s="9"/>
      <c r="AQ49" s="9"/>
      <c r="AR49" s="9"/>
      <c r="AS49" s="9"/>
      <c r="AT49" s="9"/>
      <c r="AU49" s="7"/>
      <c r="AV49" s="8"/>
    </row>
    <row r="50" spans="1:48" s="2" customFormat="1" ht="56.25" customHeight="1" x14ac:dyDescent="0.25">
      <c r="A50" s="19">
        <f>A49+1</f>
        <v>30</v>
      </c>
      <c r="B50" s="156">
        <v>1</v>
      </c>
      <c r="C50" s="166"/>
      <c r="D50" s="183"/>
      <c r="E50" s="28" t="s">
        <v>37</v>
      </c>
      <c r="F50" s="28" t="s">
        <v>117</v>
      </c>
      <c r="G50" s="28" t="s">
        <v>282</v>
      </c>
      <c r="H50" s="19">
        <v>2003</v>
      </c>
      <c r="I50" s="19">
        <v>51</v>
      </c>
      <c r="J50" s="241" t="s">
        <v>11</v>
      </c>
      <c r="K50" s="242" t="s">
        <v>11</v>
      </c>
      <c r="L50" s="243">
        <v>2027</v>
      </c>
      <c r="M50" s="24"/>
      <c r="N50" s="24"/>
      <c r="O50" s="9"/>
      <c r="P50" s="230"/>
      <c r="Q50" s="229" t="s">
        <v>414</v>
      </c>
      <c r="R50" s="153"/>
      <c r="S50" s="9"/>
      <c r="T50" s="7"/>
      <c r="U50" s="7"/>
      <c r="V50" s="7"/>
      <c r="W50" s="7"/>
      <c r="X50" s="9"/>
      <c r="Y50" s="9"/>
      <c r="Z50" s="9"/>
      <c r="AA50" s="9"/>
      <c r="AB50" s="9"/>
      <c r="AC50" s="7"/>
      <c r="AD50" s="7"/>
      <c r="AE50" s="7"/>
      <c r="AF50" s="7"/>
      <c r="AG50" s="9"/>
      <c r="AH50" s="9"/>
      <c r="AI50" s="9"/>
      <c r="AJ50" s="9"/>
      <c r="AK50" s="9"/>
      <c r="AL50" s="7"/>
      <c r="AM50" s="8"/>
      <c r="AN50" s="7"/>
      <c r="AO50" s="7"/>
      <c r="AP50" s="9"/>
      <c r="AQ50" s="9"/>
      <c r="AR50" s="9"/>
      <c r="AS50" s="9"/>
      <c r="AT50" s="9"/>
      <c r="AU50" s="7"/>
      <c r="AV50" s="8"/>
    </row>
    <row r="51" spans="1:48" s="2" customFormat="1" ht="58.5" customHeight="1" x14ac:dyDescent="0.25">
      <c r="A51" s="19">
        <f t="shared" si="0"/>
        <v>31</v>
      </c>
      <c r="B51" s="156">
        <v>1</v>
      </c>
      <c r="C51" s="164" t="s">
        <v>306</v>
      </c>
      <c r="D51" s="182" t="s">
        <v>428</v>
      </c>
      <c r="E51" s="28" t="s">
        <v>119</v>
      </c>
      <c r="F51" s="28" t="s">
        <v>120</v>
      </c>
      <c r="G51" s="28" t="s">
        <v>31</v>
      </c>
      <c r="H51" s="19">
        <v>1960</v>
      </c>
      <c r="I51" s="19">
        <v>5000</v>
      </c>
      <c r="J51" s="241" t="s">
        <v>11</v>
      </c>
      <c r="K51" s="242" t="s">
        <v>11</v>
      </c>
      <c r="L51" s="243">
        <v>2027</v>
      </c>
      <c r="M51" s="24"/>
      <c r="N51" s="24" t="s">
        <v>82</v>
      </c>
      <c r="O51" s="9"/>
      <c r="P51" s="230"/>
      <c r="Q51" s="229" t="s">
        <v>414</v>
      </c>
      <c r="R51" s="153"/>
      <c r="S51" s="9"/>
      <c r="T51" s="7"/>
      <c r="U51" s="7"/>
      <c r="V51" s="7"/>
      <c r="W51" s="7"/>
      <c r="X51" s="9"/>
      <c r="Y51" s="9"/>
      <c r="Z51" s="9"/>
      <c r="AA51" s="9"/>
      <c r="AB51" s="9"/>
      <c r="AC51" s="7"/>
      <c r="AD51" s="7"/>
      <c r="AE51" s="7"/>
      <c r="AF51" s="7"/>
      <c r="AG51" s="9"/>
      <c r="AH51" s="9"/>
      <c r="AI51" s="9"/>
      <c r="AJ51" s="9"/>
      <c r="AK51" s="9"/>
      <c r="AL51" s="7"/>
      <c r="AM51" s="8"/>
      <c r="AN51" s="7"/>
      <c r="AO51" s="7"/>
      <c r="AP51" s="9"/>
      <c r="AQ51" s="9"/>
      <c r="AR51" s="9"/>
      <c r="AS51" s="9"/>
      <c r="AT51" s="9"/>
      <c r="AU51" s="7"/>
      <c r="AV51" s="8"/>
    </row>
    <row r="52" spans="1:48" s="2" customFormat="1" ht="52.5" customHeight="1" x14ac:dyDescent="0.25">
      <c r="A52" s="19">
        <f t="shared" si="0"/>
        <v>32</v>
      </c>
      <c r="B52" s="156">
        <v>1</v>
      </c>
      <c r="C52" s="166"/>
      <c r="D52" s="184"/>
      <c r="E52" s="28" t="s">
        <v>121</v>
      </c>
      <c r="F52" s="28" t="s">
        <v>120</v>
      </c>
      <c r="G52" s="28" t="s">
        <v>283</v>
      </c>
      <c r="H52" s="19">
        <v>1960</v>
      </c>
      <c r="I52" s="19">
        <v>6</v>
      </c>
      <c r="J52" s="241" t="s">
        <v>11</v>
      </c>
      <c r="K52" s="242" t="s">
        <v>11</v>
      </c>
      <c r="L52" s="243">
        <v>2030</v>
      </c>
      <c r="M52" s="24"/>
      <c r="N52" s="24"/>
      <c r="O52" s="9"/>
      <c r="P52" s="230"/>
      <c r="Q52" s="229" t="s">
        <v>414</v>
      </c>
      <c r="R52" s="153"/>
      <c r="S52" s="9"/>
      <c r="T52" s="7"/>
      <c r="U52" s="7"/>
      <c r="V52" s="7"/>
      <c r="W52" s="7"/>
      <c r="X52" s="9"/>
      <c r="Y52" s="9"/>
      <c r="Z52" s="9"/>
      <c r="AA52" s="9"/>
      <c r="AB52" s="9"/>
      <c r="AC52" s="7"/>
      <c r="AD52" s="7"/>
      <c r="AE52" s="7"/>
      <c r="AF52" s="7"/>
      <c r="AG52" s="9"/>
      <c r="AH52" s="9"/>
      <c r="AI52" s="9"/>
      <c r="AJ52" s="9"/>
      <c r="AK52" s="9"/>
      <c r="AL52" s="7"/>
      <c r="AM52" s="8"/>
      <c r="AN52" s="7"/>
      <c r="AO52" s="7"/>
      <c r="AP52" s="9"/>
      <c r="AQ52" s="9"/>
      <c r="AR52" s="9"/>
      <c r="AS52" s="9"/>
      <c r="AT52" s="9"/>
      <c r="AU52" s="7"/>
      <c r="AV52" s="8"/>
    </row>
    <row r="53" spans="1:48" s="2" customFormat="1" ht="52.5" customHeight="1" x14ac:dyDescent="0.25">
      <c r="A53" s="19">
        <f t="shared" si="0"/>
        <v>33</v>
      </c>
      <c r="B53" s="156">
        <v>1</v>
      </c>
      <c r="C53" s="166"/>
      <c r="D53" s="184"/>
      <c r="E53" s="28" t="s">
        <v>122</v>
      </c>
      <c r="F53" s="28" t="s">
        <v>120</v>
      </c>
      <c r="G53" s="28" t="s">
        <v>31</v>
      </c>
      <c r="H53" s="19">
        <v>1960</v>
      </c>
      <c r="I53" s="19">
        <v>500</v>
      </c>
      <c r="J53" s="241" t="s">
        <v>11</v>
      </c>
      <c r="K53" s="242" t="s">
        <v>11</v>
      </c>
      <c r="L53" s="243">
        <v>2030</v>
      </c>
      <c r="M53" s="24"/>
      <c r="N53" s="24"/>
      <c r="O53" s="9"/>
      <c r="P53" s="230"/>
      <c r="Q53" s="229" t="s">
        <v>414</v>
      </c>
      <c r="R53" s="153"/>
      <c r="S53" s="9"/>
      <c r="T53" s="7"/>
      <c r="U53" s="7"/>
      <c r="V53" s="7"/>
      <c r="W53" s="7"/>
      <c r="X53" s="9"/>
      <c r="Y53" s="9"/>
      <c r="Z53" s="9"/>
      <c r="AA53" s="9"/>
      <c r="AB53" s="9"/>
      <c r="AC53" s="7"/>
      <c r="AD53" s="7"/>
      <c r="AE53" s="7"/>
      <c r="AF53" s="7"/>
      <c r="AG53" s="9"/>
      <c r="AH53" s="9"/>
      <c r="AI53" s="9"/>
      <c r="AJ53" s="9"/>
      <c r="AK53" s="9"/>
      <c r="AL53" s="7"/>
      <c r="AM53" s="8"/>
      <c r="AN53" s="7"/>
      <c r="AO53" s="7"/>
      <c r="AP53" s="9"/>
      <c r="AQ53" s="9"/>
      <c r="AR53" s="9"/>
      <c r="AS53" s="9"/>
      <c r="AT53" s="9"/>
      <c r="AU53" s="7"/>
      <c r="AV53" s="8"/>
    </row>
    <row r="54" spans="1:48" s="2" customFormat="1" ht="52.5" customHeight="1" x14ac:dyDescent="0.25">
      <c r="A54" s="19">
        <f t="shared" si="0"/>
        <v>34</v>
      </c>
      <c r="B54" s="156">
        <v>1</v>
      </c>
      <c r="C54" s="166"/>
      <c r="D54" s="184"/>
      <c r="E54" s="28" t="s">
        <v>123</v>
      </c>
      <c r="F54" s="28" t="s">
        <v>124</v>
      </c>
      <c r="G54" s="28" t="s">
        <v>31</v>
      </c>
      <c r="H54" s="19">
        <v>1960</v>
      </c>
      <c r="I54" s="19">
        <v>160</v>
      </c>
      <c r="J54" s="241" t="s">
        <v>11</v>
      </c>
      <c r="K54" s="242" t="s">
        <v>11</v>
      </c>
      <c r="L54" s="243">
        <v>2030</v>
      </c>
      <c r="M54" s="24"/>
      <c r="N54" s="24"/>
      <c r="O54" s="9"/>
      <c r="P54" s="230"/>
      <c r="Q54" s="229" t="s">
        <v>414</v>
      </c>
      <c r="R54" s="153"/>
      <c r="S54" s="9"/>
      <c r="T54" s="7"/>
      <c r="U54" s="7"/>
      <c r="V54" s="7"/>
      <c r="W54" s="7"/>
      <c r="X54" s="9"/>
      <c r="Y54" s="9"/>
      <c r="Z54" s="9"/>
      <c r="AA54" s="9"/>
      <c r="AB54" s="9"/>
      <c r="AC54" s="7"/>
      <c r="AD54" s="7"/>
      <c r="AE54" s="7"/>
      <c r="AF54" s="7"/>
      <c r="AG54" s="9"/>
      <c r="AH54" s="9"/>
      <c r="AI54" s="9"/>
      <c r="AJ54" s="9"/>
      <c r="AK54" s="9"/>
      <c r="AL54" s="7"/>
      <c r="AM54" s="8"/>
      <c r="AN54" s="7"/>
      <c r="AO54" s="7"/>
      <c r="AP54" s="9"/>
      <c r="AQ54" s="9"/>
      <c r="AR54" s="9"/>
      <c r="AS54" s="9"/>
      <c r="AT54" s="9"/>
      <c r="AU54" s="7"/>
      <c r="AV54" s="8"/>
    </row>
    <row r="55" spans="1:48" s="2" customFormat="1" ht="52.5" customHeight="1" x14ac:dyDescent="0.25">
      <c r="A55" s="19">
        <f t="shared" si="0"/>
        <v>35</v>
      </c>
      <c r="B55" s="156">
        <v>1</v>
      </c>
      <c r="C55" s="166"/>
      <c r="D55" s="184"/>
      <c r="E55" s="28" t="s">
        <v>67</v>
      </c>
      <c r="F55" s="28" t="s">
        <v>125</v>
      </c>
      <c r="G55" s="28" t="s">
        <v>75</v>
      </c>
      <c r="H55" s="19">
        <v>1960</v>
      </c>
      <c r="I55" s="19">
        <v>400</v>
      </c>
      <c r="J55" s="241" t="s">
        <v>11</v>
      </c>
      <c r="K55" s="242" t="s">
        <v>11</v>
      </c>
      <c r="L55" s="243">
        <v>2030</v>
      </c>
      <c r="M55" s="24"/>
      <c r="N55" s="24"/>
      <c r="O55" s="9"/>
      <c r="P55" s="230"/>
      <c r="Q55" s="229" t="s">
        <v>414</v>
      </c>
      <c r="R55" s="153"/>
      <c r="S55" s="9"/>
      <c r="T55" s="7"/>
      <c r="U55" s="7"/>
      <c r="V55" s="7"/>
      <c r="W55" s="7"/>
      <c r="X55" s="9"/>
      <c r="Y55" s="9"/>
      <c r="Z55" s="9"/>
      <c r="AA55" s="9"/>
      <c r="AB55" s="9"/>
      <c r="AC55" s="7"/>
      <c r="AD55" s="7"/>
      <c r="AE55" s="7"/>
      <c r="AF55" s="7"/>
      <c r="AG55" s="9"/>
      <c r="AH55" s="9"/>
      <c r="AI55" s="9"/>
      <c r="AJ55" s="9"/>
      <c r="AK55" s="9"/>
      <c r="AL55" s="7"/>
      <c r="AM55" s="8"/>
      <c r="AN55" s="7"/>
      <c r="AO55" s="7"/>
      <c r="AP55" s="9"/>
      <c r="AQ55" s="9"/>
      <c r="AR55" s="9"/>
      <c r="AS55" s="9"/>
      <c r="AT55" s="9"/>
      <c r="AU55" s="7"/>
      <c r="AV55" s="8"/>
    </row>
    <row r="56" spans="1:48" s="2" customFormat="1" ht="52.5" customHeight="1" x14ac:dyDescent="0.25">
      <c r="A56" s="19">
        <f t="shared" si="0"/>
        <v>36</v>
      </c>
      <c r="B56" s="156">
        <v>1</v>
      </c>
      <c r="C56" s="166"/>
      <c r="D56" s="184"/>
      <c r="E56" s="28" t="s">
        <v>46</v>
      </c>
      <c r="F56" s="28" t="s">
        <v>126</v>
      </c>
      <c r="G56" s="28" t="s">
        <v>75</v>
      </c>
      <c r="H56" s="19">
        <v>1960</v>
      </c>
      <c r="I56" s="19">
        <v>810</v>
      </c>
      <c r="J56" s="241" t="s">
        <v>11</v>
      </c>
      <c r="K56" s="242" t="s">
        <v>11</v>
      </c>
      <c r="L56" s="243">
        <v>2030</v>
      </c>
      <c r="M56" s="24"/>
      <c r="N56" s="24" t="s">
        <v>10</v>
      </c>
      <c r="O56" s="9"/>
      <c r="P56" s="230"/>
      <c r="Q56" s="229" t="s">
        <v>414</v>
      </c>
      <c r="R56" s="153"/>
      <c r="S56" s="9"/>
      <c r="T56" s="7"/>
      <c r="U56" s="7"/>
      <c r="V56" s="7"/>
      <c r="W56" s="7"/>
      <c r="X56" s="9"/>
      <c r="Y56" s="9"/>
      <c r="Z56" s="9"/>
      <c r="AA56" s="9"/>
      <c r="AB56" s="9"/>
      <c r="AC56" s="7"/>
      <c r="AD56" s="7"/>
      <c r="AE56" s="7"/>
      <c r="AF56" s="7"/>
      <c r="AG56" s="9"/>
      <c r="AH56" s="9"/>
      <c r="AI56" s="9"/>
      <c r="AJ56" s="9"/>
      <c r="AK56" s="9"/>
      <c r="AL56" s="7"/>
      <c r="AM56" s="8"/>
      <c r="AN56" s="7"/>
      <c r="AO56" s="7"/>
      <c r="AP56" s="9"/>
      <c r="AQ56" s="9"/>
      <c r="AR56" s="9"/>
      <c r="AS56" s="9"/>
      <c r="AT56" s="9"/>
      <c r="AU56" s="7"/>
      <c r="AV56" s="8"/>
    </row>
    <row r="57" spans="1:48" s="2" customFormat="1" ht="58.5" customHeight="1" x14ac:dyDescent="0.25">
      <c r="A57" s="19">
        <f>A56+1</f>
        <v>37</v>
      </c>
      <c r="B57" s="156">
        <v>1</v>
      </c>
      <c r="C57" s="166"/>
      <c r="D57" s="184"/>
      <c r="E57" s="28" t="s">
        <v>127</v>
      </c>
      <c r="F57" s="28" t="s">
        <v>129</v>
      </c>
      <c r="G57" s="28" t="s">
        <v>31</v>
      </c>
      <c r="H57" s="19">
        <v>1960</v>
      </c>
      <c r="I57" s="19">
        <v>25</v>
      </c>
      <c r="J57" s="241" t="s">
        <v>11</v>
      </c>
      <c r="K57" s="242" t="s">
        <v>11</v>
      </c>
      <c r="L57" s="243">
        <v>2030</v>
      </c>
      <c r="M57" s="24"/>
      <c r="N57" s="24"/>
      <c r="O57" s="9"/>
      <c r="P57" s="230"/>
      <c r="Q57" s="229" t="s">
        <v>414</v>
      </c>
      <c r="R57" s="153"/>
      <c r="S57" s="9"/>
      <c r="T57" s="7"/>
      <c r="U57" s="7"/>
      <c r="V57" s="7"/>
      <c r="W57" s="7"/>
      <c r="X57" s="9"/>
      <c r="Y57" s="9"/>
      <c r="Z57" s="9"/>
      <c r="AA57" s="9"/>
      <c r="AB57" s="9"/>
      <c r="AC57" s="7"/>
      <c r="AD57" s="7"/>
      <c r="AE57" s="7"/>
      <c r="AF57" s="7"/>
      <c r="AG57" s="9"/>
      <c r="AH57" s="9"/>
      <c r="AI57" s="9"/>
      <c r="AJ57" s="9"/>
      <c r="AK57" s="9"/>
      <c r="AL57" s="7"/>
      <c r="AM57" s="8"/>
      <c r="AN57" s="7"/>
      <c r="AO57" s="7"/>
      <c r="AP57" s="9"/>
      <c r="AQ57" s="9"/>
      <c r="AR57" s="9"/>
      <c r="AS57" s="9"/>
      <c r="AT57" s="9"/>
      <c r="AU57" s="7"/>
      <c r="AV57" s="8"/>
    </row>
    <row r="58" spans="1:48" s="2" customFormat="1" ht="55.5" customHeight="1" x14ac:dyDescent="0.25">
      <c r="A58" s="19">
        <f>A57+1</f>
        <v>38</v>
      </c>
      <c r="B58" s="156">
        <v>1</v>
      </c>
      <c r="C58" s="166"/>
      <c r="D58" s="184"/>
      <c r="E58" s="28" t="s">
        <v>128</v>
      </c>
      <c r="F58" s="28" t="s">
        <v>126</v>
      </c>
      <c r="G58" s="28" t="s">
        <v>31</v>
      </c>
      <c r="H58" s="19">
        <v>1960</v>
      </c>
      <c r="I58" s="19">
        <v>20</v>
      </c>
      <c r="J58" s="241" t="s">
        <v>11</v>
      </c>
      <c r="K58" s="242" t="s">
        <v>11</v>
      </c>
      <c r="L58" s="243">
        <v>2030</v>
      </c>
      <c r="M58" s="24"/>
      <c r="N58" s="24"/>
      <c r="O58" s="9"/>
      <c r="P58" s="230"/>
      <c r="Q58" s="229" t="s">
        <v>414</v>
      </c>
      <c r="R58" s="153"/>
      <c r="S58" s="9"/>
      <c r="T58" s="7"/>
      <c r="U58" s="7"/>
      <c r="V58" s="7"/>
      <c r="W58" s="7"/>
      <c r="X58" s="9"/>
      <c r="Y58" s="9"/>
      <c r="Z58" s="9"/>
      <c r="AA58" s="9"/>
      <c r="AB58" s="9"/>
      <c r="AC58" s="7"/>
      <c r="AD58" s="7"/>
      <c r="AE58" s="7"/>
      <c r="AF58" s="7"/>
      <c r="AG58" s="9"/>
      <c r="AH58" s="9"/>
      <c r="AI58" s="9"/>
      <c r="AJ58" s="9"/>
      <c r="AK58" s="9"/>
      <c r="AL58" s="7"/>
      <c r="AM58" s="8"/>
      <c r="AN58" s="7"/>
      <c r="AO58" s="7"/>
      <c r="AP58" s="9"/>
      <c r="AQ58" s="9"/>
      <c r="AR58" s="9"/>
      <c r="AS58" s="9"/>
      <c r="AT58" s="9"/>
      <c r="AU58" s="7"/>
      <c r="AV58" s="8"/>
    </row>
    <row r="59" spans="1:48" s="2" customFormat="1" ht="55.5" customHeight="1" x14ac:dyDescent="0.25">
      <c r="A59" s="19">
        <f t="shared" si="0"/>
        <v>39</v>
      </c>
      <c r="B59" s="156">
        <v>1</v>
      </c>
      <c r="C59" s="166"/>
      <c r="D59" s="184"/>
      <c r="E59" s="28" t="s">
        <v>323</v>
      </c>
      <c r="F59" s="28" t="s">
        <v>126</v>
      </c>
      <c r="G59" s="28" t="s">
        <v>31</v>
      </c>
      <c r="H59" s="19">
        <v>1960</v>
      </c>
      <c r="I59" s="19">
        <v>102</v>
      </c>
      <c r="J59" s="241" t="s">
        <v>11</v>
      </c>
      <c r="K59" s="242" t="s">
        <v>11</v>
      </c>
      <c r="L59" s="243">
        <v>2030</v>
      </c>
      <c r="M59" s="24"/>
      <c r="N59" s="24"/>
      <c r="O59" s="9"/>
      <c r="P59" s="230"/>
      <c r="Q59" s="229" t="s">
        <v>414</v>
      </c>
      <c r="R59" s="153"/>
      <c r="S59" s="9"/>
      <c r="T59" s="7"/>
      <c r="U59" s="7"/>
      <c r="V59" s="7"/>
      <c r="W59" s="7"/>
      <c r="X59" s="9"/>
      <c r="Y59" s="9"/>
      <c r="Z59" s="9"/>
      <c r="AA59" s="9"/>
      <c r="AB59" s="9"/>
      <c r="AC59" s="7"/>
      <c r="AD59" s="7"/>
      <c r="AE59" s="7"/>
      <c r="AF59" s="7"/>
      <c r="AG59" s="9"/>
      <c r="AH59" s="9"/>
      <c r="AI59" s="9"/>
      <c r="AJ59" s="9"/>
      <c r="AK59" s="9"/>
      <c r="AL59" s="7"/>
      <c r="AM59" s="8"/>
      <c r="AN59" s="7"/>
      <c r="AO59" s="7"/>
      <c r="AP59" s="9"/>
      <c r="AQ59" s="9"/>
      <c r="AR59" s="9"/>
      <c r="AS59" s="9"/>
      <c r="AT59" s="9"/>
      <c r="AU59" s="7"/>
      <c r="AV59" s="8"/>
    </row>
    <row r="60" spans="1:48" s="2" customFormat="1" ht="54" customHeight="1" x14ac:dyDescent="0.25">
      <c r="A60" s="19">
        <f t="shared" si="0"/>
        <v>40</v>
      </c>
      <c r="B60" s="156">
        <v>1</v>
      </c>
      <c r="C60" s="166"/>
      <c r="D60" s="184"/>
      <c r="E60" s="28" t="s">
        <v>130</v>
      </c>
      <c r="F60" s="28" t="s">
        <v>131</v>
      </c>
      <c r="G60" s="28" t="s">
        <v>282</v>
      </c>
      <c r="H60" s="19">
        <v>1985</v>
      </c>
      <c r="I60" s="19">
        <v>2400</v>
      </c>
      <c r="J60" s="241" t="s">
        <v>11</v>
      </c>
      <c r="K60" s="242" t="s">
        <v>11</v>
      </c>
      <c r="L60" s="243">
        <v>2027</v>
      </c>
      <c r="M60" s="24"/>
      <c r="N60" s="24"/>
      <c r="O60" s="9"/>
      <c r="P60" s="230"/>
      <c r="Q60" s="229" t="s">
        <v>414</v>
      </c>
      <c r="R60" s="153"/>
      <c r="S60" s="9"/>
      <c r="T60" s="7"/>
      <c r="U60" s="7"/>
      <c r="V60" s="7"/>
      <c r="W60" s="7"/>
      <c r="X60" s="9"/>
      <c r="Y60" s="9"/>
      <c r="Z60" s="9"/>
      <c r="AA60" s="9"/>
      <c r="AB60" s="9"/>
      <c r="AC60" s="7"/>
      <c r="AD60" s="7"/>
      <c r="AE60" s="7"/>
      <c r="AF60" s="7"/>
      <c r="AG60" s="9"/>
      <c r="AH60" s="9"/>
      <c r="AI60" s="9"/>
      <c r="AJ60" s="9"/>
      <c r="AK60" s="9"/>
      <c r="AL60" s="7"/>
      <c r="AM60" s="8"/>
      <c r="AN60" s="7"/>
      <c r="AO60" s="7"/>
      <c r="AP60" s="9"/>
      <c r="AQ60" s="9"/>
      <c r="AR60" s="9"/>
      <c r="AS60" s="9"/>
      <c r="AT60" s="9"/>
      <c r="AU60" s="7"/>
      <c r="AV60" s="8"/>
    </row>
    <row r="61" spans="1:48" s="2" customFormat="1" ht="54" customHeight="1" x14ac:dyDescent="0.25">
      <c r="A61" s="19">
        <f t="shared" si="0"/>
        <v>41</v>
      </c>
      <c r="B61" s="156">
        <v>1</v>
      </c>
      <c r="C61" s="166"/>
      <c r="D61" s="184"/>
      <c r="E61" s="28" t="s">
        <v>132</v>
      </c>
      <c r="F61" s="28" t="s">
        <v>131</v>
      </c>
      <c r="G61" s="28" t="s">
        <v>282</v>
      </c>
      <c r="H61" s="19">
        <v>1985</v>
      </c>
      <c r="I61" s="19">
        <v>930</v>
      </c>
      <c r="J61" s="241" t="s">
        <v>11</v>
      </c>
      <c r="K61" s="242" t="s">
        <v>11</v>
      </c>
      <c r="L61" s="243">
        <v>2027</v>
      </c>
      <c r="M61" s="24"/>
      <c r="N61" s="24"/>
      <c r="O61" s="9"/>
      <c r="P61" s="230"/>
      <c r="Q61" s="229" t="s">
        <v>414</v>
      </c>
      <c r="R61" s="153"/>
      <c r="S61" s="9"/>
      <c r="T61" s="7"/>
      <c r="U61" s="7"/>
      <c r="V61" s="7"/>
      <c r="W61" s="7"/>
      <c r="X61" s="9"/>
      <c r="Y61" s="9"/>
      <c r="Z61" s="9"/>
      <c r="AA61" s="9"/>
      <c r="AB61" s="9"/>
      <c r="AC61" s="7"/>
      <c r="AD61" s="7"/>
      <c r="AE61" s="7"/>
      <c r="AF61" s="7"/>
      <c r="AG61" s="9"/>
      <c r="AH61" s="9"/>
      <c r="AI61" s="9"/>
      <c r="AJ61" s="9"/>
      <c r="AK61" s="9"/>
      <c r="AL61" s="7"/>
      <c r="AM61" s="8"/>
      <c r="AN61" s="7"/>
      <c r="AO61" s="7"/>
      <c r="AP61" s="9"/>
      <c r="AQ61" s="9"/>
      <c r="AR61" s="9"/>
      <c r="AS61" s="9"/>
      <c r="AT61" s="9"/>
      <c r="AU61" s="7"/>
      <c r="AV61" s="8"/>
    </row>
    <row r="62" spans="1:48" s="2" customFormat="1" ht="54" customHeight="1" x14ac:dyDescent="0.25">
      <c r="A62" s="19">
        <f t="shared" si="0"/>
        <v>42</v>
      </c>
      <c r="B62" s="156">
        <v>1</v>
      </c>
      <c r="C62" s="166"/>
      <c r="D62" s="184"/>
      <c r="E62" s="28" t="s">
        <v>133</v>
      </c>
      <c r="F62" s="28" t="s">
        <v>131</v>
      </c>
      <c r="G62" s="28" t="s">
        <v>282</v>
      </c>
      <c r="H62" s="19">
        <v>1985</v>
      </c>
      <c r="I62" s="19">
        <v>1120</v>
      </c>
      <c r="J62" s="241" t="s">
        <v>11</v>
      </c>
      <c r="K62" s="242" t="s">
        <v>11</v>
      </c>
      <c r="L62" s="243">
        <v>2027</v>
      </c>
      <c r="M62" s="24"/>
      <c r="N62" s="24"/>
      <c r="O62" s="9"/>
      <c r="P62" s="230"/>
      <c r="Q62" s="229" t="s">
        <v>414</v>
      </c>
      <c r="R62" s="153"/>
      <c r="S62" s="9"/>
      <c r="T62" s="7"/>
      <c r="U62" s="7"/>
      <c r="V62" s="7"/>
      <c r="W62" s="7"/>
      <c r="X62" s="9"/>
      <c r="Y62" s="9"/>
      <c r="Z62" s="9"/>
      <c r="AA62" s="9"/>
      <c r="AB62" s="9"/>
      <c r="AC62" s="7"/>
      <c r="AD62" s="7"/>
      <c r="AE62" s="7"/>
      <c r="AF62" s="7"/>
      <c r="AG62" s="9"/>
      <c r="AH62" s="9"/>
      <c r="AI62" s="9"/>
      <c r="AJ62" s="9"/>
      <c r="AK62" s="9"/>
      <c r="AL62" s="7"/>
      <c r="AM62" s="8"/>
      <c r="AN62" s="7"/>
      <c r="AO62" s="7"/>
      <c r="AP62" s="9"/>
      <c r="AQ62" s="9"/>
      <c r="AR62" s="9"/>
      <c r="AS62" s="9"/>
      <c r="AT62" s="9"/>
      <c r="AU62" s="7"/>
      <c r="AV62" s="8"/>
    </row>
    <row r="63" spans="1:48" s="2" customFormat="1" ht="54" customHeight="1" x14ac:dyDescent="0.25">
      <c r="A63" s="19">
        <f t="shared" si="0"/>
        <v>43</v>
      </c>
      <c r="B63" s="156">
        <v>1</v>
      </c>
      <c r="C63" s="166"/>
      <c r="D63" s="184"/>
      <c r="E63" s="28" t="s">
        <v>134</v>
      </c>
      <c r="F63" s="28" t="s">
        <v>131</v>
      </c>
      <c r="G63" s="28" t="s">
        <v>282</v>
      </c>
      <c r="H63" s="19">
        <v>1984</v>
      </c>
      <c r="I63" s="19">
        <v>1130</v>
      </c>
      <c r="J63" s="241" t="s">
        <v>11</v>
      </c>
      <c r="K63" s="242" t="s">
        <v>11</v>
      </c>
      <c r="L63" s="243">
        <v>2028</v>
      </c>
      <c r="M63" s="24"/>
      <c r="N63" s="24"/>
      <c r="O63" s="9"/>
      <c r="P63" s="230"/>
      <c r="Q63" s="229" t="s">
        <v>414</v>
      </c>
      <c r="R63" s="153"/>
      <c r="S63" s="9"/>
      <c r="T63" s="7"/>
      <c r="U63" s="7"/>
      <c r="V63" s="7"/>
      <c r="W63" s="7"/>
      <c r="X63" s="9"/>
      <c r="Y63" s="9"/>
      <c r="Z63" s="9"/>
      <c r="AA63" s="9"/>
      <c r="AB63" s="9"/>
      <c r="AC63" s="7"/>
      <c r="AD63" s="7"/>
      <c r="AE63" s="7"/>
      <c r="AF63" s="7"/>
      <c r="AG63" s="9"/>
      <c r="AH63" s="9"/>
      <c r="AI63" s="9"/>
      <c r="AJ63" s="9"/>
      <c r="AK63" s="9"/>
      <c r="AL63" s="7"/>
      <c r="AM63" s="8"/>
      <c r="AN63" s="7"/>
      <c r="AO63" s="7"/>
      <c r="AP63" s="9"/>
      <c r="AQ63" s="9"/>
      <c r="AR63" s="9"/>
      <c r="AS63" s="9"/>
      <c r="AT63" s="9"/>
      <c r="AU63" s="7"/>
      <c r="AV63" s="8"/>
    </row>
    <row r="64" spans="1:48" s="2" customFormat="1" ht="54" customHeight="1" x14ac:dyDescent="0.25">
      <c r="A64" s="19">
        <f t="shared" si="0"/>
        <v>44</v>
      </c>
      <c r="B64" s="156">
        <v>1</v>
      </c>
      <c r="C64" s="166"/>
      <c r="D64" s="184"/>
      <c r="E64" s="28" t="s">
        <v>135</v>
      </c>
      <c r="F64" s="28" t="s">
        <v>131</v>
      </c>
      <c r="G64" s="28" t="s">
        <v>282</v>
      </c>
      <c r="H64" s="19">
        <v>1984</v>
      </c>
      <c r="I64" s="19">
        <v>52</v>
      </c>
      <c r="J64" s="241" t="s">
        <v>11</v>
      </c>
      <c r="K64" s="242" t="s">
        <v>11</v>
      </c>
      <c r="L64" s="243">
        <v>2026</v>
      </c>
      <c r="M64" s="24"/>
      <c r="N64" s="24"/>
      <c r="O64" s="9"/>
      <c r="P64" s="230"/>
      <c r="Q64" s="229" t="s">
        <v>414</v>
      </c>
      <c r="R64" s="153"/>
      <c r="S64" s="9"/>
      <c r="T64" s="7"/>
      <c r="U64" s="7"/>
      <c r="V64" s="7"/>
      <c r="W64" s="7"/>
      <c r="X64" s="9"/>
      <c r="Y64" s="9"/>
      <c r="Z64" s="9"/>
      <c r="AA64" s="9"/>
      <c r="AB64" s="9"/>
      <c r="AC64" s="7"/>
      <c r="AD64" s="7"/>
      <c r="AE64" s="7"/>
      <c r="AF64" s="7"/>
      <c r="AG64" s="9"/>
      <c r="AH64" s="9"/>
      <c r="AI64" s="9"/>
      <c r="AJ64" s="9"/>
      <c r="AK64" s="9"/>
      <c r="AL64" s="7"/>
      <c r="AM64" s="8"/>
      <c r="AN64" s="7"/>
      <c r="AO64" s="7"/>
      <c r="AP64" s="9"/>
      <c r="AQ64" s="9"/>
      <c r="AR64" s="9"/>
      <c r="AS64" s="9"/>
      <c r="AT64" s="9"/>
      <c r="AU64" s="7"/>
      <c r="AV64" s="8"/>
    </row>
    <row r="65" spans="1:48" s="2" customFormat="1" ht="54" customHeight="1" x14ac:dyDescent="0.25">
      <c r="A65" s="19">
        <f t="shared" si="0"/>
        <v>45</v>
      </c>
      <c r="B65" s="156">
        <v>1</v>
      </c>
      <c r="C65" s="166"/>
      <c r="D65" s="184"/>
      <c r="E65" s="28" t="s">
        <v>136</v>
      </c>
      <c r="F65" s="28" t="s">
        <v>137</v>
      </c>
      <c r="G65" s="28" t="s">
        <v>282</v>
      </c>
      <c r="H65" s="19">
        <v>1981</v>
      </c>
      <c r="I65" s="19">
        <v>1260</v>
      </c>
      <c r="J65" s="241" t="s">
        <v>11</v>
      </c>
      <c r="K65" s="242" t="s">
        <v>11</v>
      </c>
      <c r="L65" s="243">
        <v>2028</v>
      </c>
      <c r="M65" s="24"/>
      <c r="N65" s="24"/>
      <c r="O65" s="9"/>
      <c r="P65" s="230"/>
      <c r="Q65" s="229" t="s">
        <v>414</v>
      </c>
      <c r="R65" s="153"/>
      <c r="S65" s="9"/>
      <c r="T65" s="7"/>
      <c r="U65" s="7"/>
      <c r="V65" s="7"/>
      <c r="W65" s="7"/>
      <c r="X65" s="9"/>
      <c r="Y65" s="9"/>
      <c r="Z65" s="9"/>
      <c r="AA65" s="9"/>
      <c r="AB65" s="9"/>
      <c r="AC65" s="7"/>
      <c r="AD65" s="7"/>
      <c r="AE65" s="7"/>
      <c r="AF65" s="7"/>
      <c r="AG65" s="9"/>
      <c r="AH65" s="9"/>
      <c r="AI65" s="9"/>
      <c r="AJ65" s="9"/>
      <c r="AK65" s="9"/>
      <c r="AL65" s="7"/>
      <c r="AM65" s="8"/>
      <c r="AN65" s="7"/>
      <c r="AO65" s="7"/>
      <c r="AP65" s="9"/>
      <c r="AQ65" s="9"/>
      <c r="AR65" s="9"/>
      <c r="AS65" s="9"/>
      <c r="AT65" s="9"/>
      <c r="AU65" s="7"/>
      <c r="AV65" s="8"/>
    </row>
    <row r="66" spans="1:48" s="2" customFormat="1" ht="54" customHeight="1" x14ac:dyDescent="0.25">
      <c r="A66" s="19">
        <f t="shared" si="0"/>
        <v>46</v>
      </c>
      <c r="B66" s="156">
        <v>1</v>
      </c>
      <c r="C66" s="166"/>
      <c r="D66" s="184"/>
      <c r="E66" s="28" t="s">
        <v>138</v>
      </c>
      <c r="F66" s="28" t="s">
        <v>295</v>
      </c>
      <c r="G66" s="28" t="s">
        <v>282</v>
      </c>
      <c r="H66" s="19">
        <v>1981</v>
      </c>
      <c r="I66" s="19">
        <v>1300</v>
      </c>
      <c r="J66" s="241" t="s">
        <v>11</v>
      </c>
      <c r="K66" s="242" t="s">
        <v>11</v>
      </c>
      <c r="L66" s="243">
        <v>2028</v>
      </c>
      <c r="M66" s="24"/>
      <c r="N66" s="24"/>
      <c r="O66" s="9"/>
      <c r="P66" s="230"/>
      <c r="Q66" s="229" t="s">
        <v>414</v>
      </c>
      <c r="R66" s="153"/>
      <c r="S66" s="9"/>
      <c r="T66" s="7"/>
      <c r="U66" s="7"/>
      <c r="V66" s="7"/>
      <c r="W66" s="7"/>
      <c r="X66" s="9"/>
      <c r="Y66" s="9"/>
      <c r="Z66" s="9"/>
      <c r="AA66" s="9"/>
      <c r="AB66" s="9"/>
      <c r="AC66" s="7"/>
      <c r="AD66" s="7"/>
      <c r="AE66" s="7"/>
      <c r="AF66" s="7"/>
      <c r="AG66" s="9"/>
      <c r="AH66" s="9"/>
      <c r="AI66" s="9"/>
      <c r="AJ66" s="9"/>
      <c r="AK66" s="9"/>
      <c r="AL66" s="7"/>
      <c r="AM66" s="8"/>
      <c r="AN66" s="7"/>
      <c r="AO66" s="7"/>
      <c r="AP66" s="9"/>
      <c r="AQ66" s="9"/>
      <c r="AR66" s="9"/>
      <c r="AS66" s="9"/>
      <c r="AT66" s="9"/>
      <c r="AU66" s="7"/>
      <c r="AV66" s="8"/>
    </row>
    <row r="67" spans="1:48" s="2" customFormat="1" ht="54" customHeight="1" x14ac:dyDescent="0.25">
      <c r="A67" s="19">
        <f t="shared" si="0"/>
        <v>47</v>
      </c>
      <c r="B67" s="156">
        <v>1</v>
      </c>
      <c r="C67" s="166"/>
      <c r="D67" s="184"/>
      <c r="E67" s="28" t="s">
        <v>139</v>
      </c>
      <c r="F67" s="28" t="s">
        <v>140</v>
      </c>
      <c r="G67" s="28" t="s">
        <v>282</v>
      </c>
      <c r="H67" s="19">
        <v>1965</v>
      </c>
      <c r="I67" s="19">
        <v>597.29999999999995</v>
      </c>
      <c r="J67" s="241" t="s">
        <v>9</v>
      </c>
      <c r="K67" s="242" t="s">
        <v>9</v>
      </c>
      <c r="L67" s="243">
        <v>2026</v>
      </c>
      <c r="M67" s="24"/>
      <c r="N67" s="24"/>
      <c r="O67" s="9"/>
      <c r="P67" s="230"/>
      <c r="Q67" s="229" t="s">
        <v>414</v>
      </c>
      <c r="R67" s="153"/>
      <c r="S67" s="9"/>
      <c r="T67" s="7"/>
      <c r="U67" s="7"/>
      <c r="V67" s="7"/>
      <c r="W67" s="7"/>
      <c r="X67" s="9"/>
      <c r="Y67" s="9"/>
      <c r="Z67" s="9"/>
      <c r="AA67" s="9"/>
      <c r="AB67" s="9"/>
      <c r="AC67" s="7"/>
      <c r="AD67" s="7"/>
      <c r="AE67" s="7"/>
      <c r="AF67" s="7"/>
      <c r="AG67" s="9"/>
      <c r="AH67" s="9"/>
      <c r="AI67" s="9"/>
      <c r="AJ67" s="9"/>
      <c r="AK67" s="9"/>
      <c r="AL67" s="7"/>
      <c r="AM67" s="8"/>
      <c r="AN67" s="7"/>
      <c r="AO67" s="7"/>
      <c r="AP67" s="9"/>
      <c r="AQ67" s="9"/>
      <c r="AR67" s="9"/>
      <c r="AS67" s="9"/>
      <c r="AT67" s="9"/>
      <c r="AU67" s="7"/>
      <c r="AV67" s="8"/>
    </row>
    <row r="68" spans="1:48" s="2" customFormat="1" ht="54" customHeight="1" x14ac:dyDescent="0.25">
      <c r="A68" s="19">
        <f t="shared" si="0"/>
        <v>48</v>
      </c>
      <c r="B68" s="156">
        <v>1</v>
      </c>
      <c r="C68" s="166"/>
      <c r="D68" s="184"/>
      <c r="E68" s="28" t="s">
        <v>139</v>
      </c>
      <c r="F68" s="28" t="s">
        <v>141</v>
      </c>
      <c r="G68" s="28" t="s">
        <v>282</v>
      </c>
      <c r="H68" s="19">
        <v>1981</v>
      </c>
      <c r="I68" s="19">
        <v>613.79999999999995</v>
      </c>
      <c r="J68" s="241" t="s">
        <v>11</v>
      </c>
      <c r="K68" s="242" t="s">
        <v>11</v>
      </c>
      <c r="L68" s="243">
        <v>2026</v>
      </c>
      <c r="M68" s="24"/>
      <c r="N68" s="24"/>
      <c r="O68" s="9"/>
      <c r="P68" s="230"/>
      <c r="Q68" s="229" t="s">
        <v>414</v>
      </c>
      <c r="R68" s="153"/>
      <c r="S68" s="9"/>
      <c r="T68" s="7"/>
      <c r="U68" s="7"/>
      <c r="V68" s="7"/>
      <c r="W68" s="7"/>
      <c r="X68" s="9"/>
      <c r="Y68" s="9"/>
      <c r="Z68" s="9"/>
      <c r="AA68" s="9"/>
      <c r="AB68" s="9"/>
      <c r="AC68" s="7"/>
      <c r="AD68" s="7"/>
      <c r="AE68" s="7"/>
      <c r="AF68" s="7"/>
      <c r="AG68" s="9"/>
      <c r="AH68" s="9"/>
      <c r="AI68" s="9"/>
      <c r="AJ68" s="9"/>
      <c r="AK68" s="9"/>
      <c r="AL68" s="7"/>
      <c r="AM68" s="8"/>
      <c r="AN68" s="7"/>
      <c r="AO68" s="7"/>
      <c r="AP68" s="9"/>
      <c r="AQ68" s="9"/>
      <c r="AR68" s="9"/>
      <c r="AS68" s="9"/>
      <c r="AT68" s="9"/>
      <c r="AU68" s="7"/>
      <c r="AV68" s="8"/>
    </row>
    <row r="69" spans="1:48" s="2" customFormat="1" ht="54" customHeight="1" x14ac:dyDescent="0.25">
      <c r="A69" s="19">
        <f t="shared" si="0"/>
        <v>49</v>
      </c>
      <c r="B69" s="156">
        <v>1</v>
      </c>
      <c r="C69" s="166"/>
      <c r="D69" s="184"/>
      <c r="E69" s="28" t="s">
        <v>142</v>
      </c>
      <c r="F69" s="28" t="s">
        <v>144</v>
      </c>
      <c r="G69" s="28" t="s">
        <v>282</v>
      </c>
      <c r="H69" s="19">
        <v>1980</v>
      </c>
      <c r="I69" s="19">
        <v>469.2</v>
      </c>
      <c r="J69" s="241" t="s">
        <v>11</v>
      </c>
      <c r="K69" s="242" t="s">
        <v>11</v>
      </c>
      <c r="L69" s="243">
        <v>2027</v>
      </c>
      <c r="M69" s="24"/>
      <c r="N69" s="24"/>
      <c r="O69" s="9"/>
      <c r="P69" s="230"/>
      <c r="Q69" s="229" t="s">
        <v>414</v>
      </c>
      <c r="R69" s="153"/>
      <c r="S69" s="9"/>
      <c r="T69" s="7"/>
      <c r="U69" s="7"/>
      <c r="V69" s="7"/>
      <c r="W69" s="7"/>
      <c r="X69" s="9"/>
      <c r="Y69" s="9"/>
      <c r="Z69" s="9"/>
      <c r="AA69" s="9"/>
      <c r="AB69" s="9"/>
      <c r="AC69" s="7"/>
      <c r="AD69" s="7"/>
      <c r="AE69" s="7"/>
      <c r="AF69" s="7"/>
      <c r="AG69" s="9"/>
      <c r="AH69" s="9"/>
      <c r="AI69" s="9"/>
      <c r="AJ69" s="9"/>
      <c r="AK69" s="9"/>
      <c r="AL69" s="7"/>
      <c r="AM69" s="8"/>
      <c r="AN69" s="7"/>
      <c r="AO69" s="7"/>
      <c r="AP69" s="9"/>
      <c r="AQ69" s="9"/>
      <c r="AR69" s="9"/>
      <c r="AS69" s="9"/>
      <c r="AT69" s="9"/>
      <c r="AU69" s="7"/>
      <c r="AV69" s="8"/>
    </row>
    <row r="70" spans="1:48" s="2" customFormat="1" ht="54" customHeight="1" x14ac:dyDescent="0.25">
      <c r="A70" s="19">
        <f t="shared" si="0"/>
        <v>50</v>
      </c>
      <c r="B70" s="156">
        <v>1</v>
      </c>
      <c r="C70" s="166"/>
      <c r="D70" s="184"/>
      <c r="E70" s="28" t="s">
        <v>49</v>
      </c>
      <c r="F70" s="28" t="s">
        <v>143</v>
      </c>
      <c r="G70" s="28" t="s">
        <v>282</v>
      </c>
      <c r="H70" s="19">
        <v>1960</v>
      </c>
      <c r="I70" s="19">
        <v>1000</v>
      </c>
      <c r="J70" s="241" t="s">
        <v>11</v>
      </c>
      <c r="K70" s="242" t="s">
        <v>11</v>
      </c>
      <c r="L70" s="243">
        <v>2027</v>
      </c>
      <c r="M70" s="24"/>
      <c r="N70" s="24"/>
      <c r="O70" s="9"/>
      <c r="P70" s="230"/>
      <c r="Q70" s="229" t="s">
        <v>414</v>
      </c>
      <c r="R70" s="153"/>
      <c r="S70" s="9"/>
      <c r="T70" s="7"/>
      <c r="U70" s="7"/>
      <c r="V70" s="7"/>
      <c r="W70" s="7"/>
      <c r="X70" s="9"/>
      <c r="Y70" s="9"/>
      <c r="Z70" s="9"/>
      <c r="AA70" s="9"/>
      <c r="AB70" s="9"/>
      <c r="AC70" s="7"/>
      <c r="AD70" s="7"/>
      <c r="AE70" s="7"/>
      <c r="AF70" s="7"/>
      <c r="AG70" s="9"/>
      <c r="AH70" s="9"/>
      <c r="AI70" s="9"/>
      <c r="AJ70" s="9"/>
      <c r="AK70" s="9"/>
      <c r="AL70" s="7"/>
      <c r="AM70" s="8"/>
      <c r="AN70" s="7"/>
      <c r="AO70" s="7"/>
      <c r="AP70" s="9"/>
      <c r="AQ70" s="9"/>
      <c r="AR70" s="9"/>
      <c r="AS70" s="9"/>
      <c r="AT70" s="9"/>
      <c r="AU70" s="7"/>
      <c r="AV70" s="8"/>
    </row>
    <row r="71" spans="1:48" s="212" customFormat="1" ht="54" customHeight="1" x14ac:dyDescent="0.25">
      <c r="A71" s="19">
        <f t="shared" si="0"/>
        <v>51</v>
      </c>
      <c r="B71" s="156">
        <v>1</v>
      </c>
      <c r="C71" s="166"/>
      <c r="D71" s="211"/>
      <c r="E71" s="28" t="s">
        <v>454</v>
      </c>
      <c r="F71" s="28" t="s">
        <v>145</v>
      </c>
      <c r="G71" s="28" t="s">
        <v>282</v>
      </c>
      <c r="H71" s="19">
        <v>1983</v>
      </c>
      <c r="I71" s="19">
        <v>884.1</v>
      </c>
      <c r="J71" s="241" t="s">
        <v>61</v>
      </c>
      <c r="K71" s="241" t="s">
        <v>61</v>
      </c>
      <c r="L71" s="243">
        <v>2026</v>
      </c>
      <c r="M71" s="24"/>
      <c r="N71" s="24"/>
      <c r="O71" s="9"/>
      <c r="P71" s="230"/>
      <c r="Q71" s="229" t="s">
        <v>414</v>
      </c>
      <c r="R71" s="153"/>
      <c r="S71" s="9"/>
      <c r="T71" s="7"/>
      <c r="U71" s="7"/>
      <c r="V71" s="7"/>
      <c r="W71" s="7"/>
      <c r="X71" s="9"/>
      <c r="Y71" s="9"/>
      <c r="Z71" s="9"/>
      <c r="AA71" s="9"/>
      <c r="AB71" s="9"/>
      <c r="AC71" s="7"/>
      <c r="AD71" s="7"/>
      <c r="AE71" s="7"/>
      <c r="AF71" s="7"/>
      <c r="AG71" s="9"/>
      <c r="AH71" s="9"/>
      <c r="AI71" s="9"/>
      <c r="AJ71" s="9"/>
      <c r="AK71" s="9"/>
      <c r="AL71" s="7"/>
      <c r="AM71" s="8"/>
      <c r="AN71" s="7"/>
      <c r="AO71" s="7"/>
      <c r="AP71" s="9"/>
      <c r="AQ71" s="9"/>
      <c r="AR71" s="9"/>
      <c r="AS71" s="9"/>
      <c r="AT71" s="9"/>
      <c r="AU71" s="7"/>
      <c r="AV71" s="8"/>
    </row>
    <row r="72" spans="1:48" s="2" customFormat="1" ht="63.75" customHeight="1" x14ac:dyDescent="0.25">
      <c r="A72" s="19">
        <f t="shared" si="0"/>
        <v>52</v>
      </c>
      <c r="B72" s="156">
        <v>1</v>
      </c>
      <c r="C72" s="166"/>
      <c r="D72" s="184"/>
      <c r="E72" s="28" t="s">
        <v>146</v>
      </c>
      <c r="F72" s="28" t="s">
        <v>147</v>
      </c>
      <c r="G72" s="28" t="s">
        <v>30</v>
      </c>
      <c r="H72" s="19">
        <v>1980</v>
      </c>
      <c r="I72" s="19">
        <v>300</v>
      </c>
      <c r="J72" s="242" t="s">
        <v>11</v>
      </c>
      <c r="K72" s="242" t="s">
        <v>11</v>
      </c>
      <c r="L72" s="243">
        <v>2030</v>
      </c>
      <c r="M72" s="24"/>
      <c r="N72" s="24"/>
      <c r="O72" s="9"/>
      <c r="P72" s="230"/>
      <c r="Q72" s="229" t="s">
        <v>414</v>
      </c>
      <c r="R72" s="153"/>
      <c r="S72" s="9"/>
      <c r="T72" s="7"/>
      <c r="U72" s="7"/>
      <c r="V72" s="7"/>
      <c r="W72" s="7"/>
      <c r="X72" s="9"/>
      <c r="Y72" s="9"/>
      <c r="Z72" s="9"/>
      <c r="AA72" s="9"/>
      <c r="AB72" s="9"/>
      <c r="AC72" s="7"/>
      <c r="AD72" s="7"/>
      <c r="AE72" s="7"/>
      <c r="AF72" s="7"/>
      <c r="AG72" s="9"/>
      <c r="AH72" s="9"/>
      <c r="AI72" s="9"/>
      <c r="AJ72" s="9"/>
      <c r="AK72" s="9"/>
      <c r="AL72" s="7"/>
      <c r="AM72" s="8"/>
      <c r="AN72" s="7"/>
      <c r="AO72" s="7"/>
      <c r="AP72" s="9"/>
      <c r="AQ72" s="9"/>
      <c r="AR72" s="9"/>
      <c r="AS72" s="9"/>
      <c r="AT72" s="9"/>
      <c r="AU72" s="7"/>
      <c r="AV72" s="8"/>
    </row>
    <row r="73" spans="1:48" s="2" customFormat="1" ht="54" customHeight="1" x14ac:dyDescent="0.25">
      <c r="A73" s="19">
        <f t="shared" si="0"/>
        <v>53</v>
      </c>
      <c r="B73" s="156">
        <v>1</v>
      </c>
      <c r="C73" s="166"/>
      <c r="D73" s="184"/>
      <c r="E73" s="28" t="s">
        <v>148</v>
      </c>
      <c r="F73" s="28" t="s">
        <v>307</v>
      </c>
      <c r="G73" s="28" t="s">
        <v>285</v>
      </c>
      <c r="H73" s="19">
        <v>1975</v>
      </c>
      <c r="I73" s="19">
        <v>795.6</v>
      </c>
      <c r="J73" s="241" t="s">
        <v>9</v>
      </c>
      <c r="K73" s="242" t="s">
        <v>9</v>
      </c>
      <c r="L73" s="243">
        <v>2029</v>
      </c>
      <c r="M73" s="24"/>
      <c r="N73" s="24"/>
      <c r="O73" s="9"/>
      <c r="P73" s="230"/>
      <c r="Q73" s="229" t="s">
        <v>414</v>
      </c>
      <c r="R73" s="153"/>
      <c r="S73" s="9"/>
      <c r="T73" s="7"/>
      <c r="U73" s="7"/>
      <c r="V73" s="7"/>
      <c r="W73" s="7"/>
      <c r="X73" s="9"/>
      <c r="Y73" s="9"/>
      <c r="Z73" s="9"/>
      <c r="AA73" s="9"/>
      <c r="AB73" s="9"/>
      <c r="AC73" s="7"/>
      <c r="AD73" s="7"/>
      <c r="AE73" s="7"/>
      <c r="AF73" s="7"/>
      <c r="AG73" s="9"/>
      <c r="AH73" s="9"/>
      <c r="AI73" s="9"/>
      <c r="AJ73" s="9"/>
      <c r="AK73" s="9"/>
      <c r="AL73" s="7"/>
      <c r="AM73" s="8"/>
      <c r="AN73" s="7"/>
      <c r="AO73" s="7"/>
      <c r="AP73" s="9"/>
      <c r="AQ73" s="9"/>
      <c r="AR73" s="9"/>
      <c r="AS73" s="9"/>
      <c r="AT73" s="9"/>
      <c r="AU73" s="7"/>
      <c r="AV73" s="8"/>
    </row>
    <row r="74" spans="1:48" s="2" customFormat="1" ht="54" customHeight="1" x14ac:dyDescent="0.25">
      <c r="A74" s="19">
        <f t="shared" si="0"/>
        <v>54</v>
      </c>
      <c r="B74" s="156">
        <v>1</v>
      </c>
      <c r="C74" s="166"/>
      <c r="D74" s="184"/>
      <c r="E74" s="28" t="s">
        <v>149</v>
      </c>
      <c r="F74" s="28" t="s">
        <v>150</v>
      </c>
      <c r="G74" s="28" t="s">
        <v>31</v>
      </c>
      <c r="H74" s="19">
        <v>1993</v>
      </c>
      <c r="I74" s="19">
        <v>110</v>
      </c>
      <c r="J74" s="241" t="s">
        <v>11</v>
      </c>
      <c r="K74" s="242" t="s">
        <v>11</v>
      </c>
      <c r="L74" s="243">
        <v>2029</v>
      </c>
      <c r="M74" s="24"/>
      <c r="N74" s="24"/>
      <c r="O74" s="9"/>
      <c r="P74" s="230"/>
      <c r="Q74" s="229" t="s">
        <v>414</v>
      </c>
      <c r="R74" s="153"/>
      <c r="S74" s="9"/>
      <c r="T74" s="7"/>
      <c r="U74" s="7"/>
      <c r="V74" s="7"/>
      <c r="W74" s="7"/>
      <c r="X74" s="9"/>
      <c r="Y74" s="9"/>
      <c r="Z74" s="9"/>
      <c r="AA74" s="9"/>
      <c r="AB74" s="9"/>
      <c r="AC74" s="7"/>
      <c r="AD74" s="7"/>
      <c r="AE74" s="7"/>
      <c r="AF74" s="7"/>
      <c r="AG74" s="9"/>
      <c r="AH74" s="9"/>
      <c r="AI74" s="9"/>
      <c r="AJ74" s="9"/>
      <c r="AK74" s="9"/>
      <c r="AL74" s="7"/>
      <c r="AM74" s="8"/>
      <c r="AN74" s="7"/>
      <c r="AO74" s="7"/>
      <c r="AP74" s="9"/>
      <c r="AQ74" s="9"/>
      <c r="AR74" s="9"/>
      <c r="AS74" s="9"/>
      <c r="AT74" s="9"/>
      <c r="AU74" s="7"/>
      <c r="AV74" s="8"/>
    </row>
    <row r="75" spans="1:48" s="2" customFormat="1" ht="54" customHeight="1" x14ac:dyDescent="0.25">
      <c r="A75" s="19">
        <f t="shared" si="0"/>
        <v>55</v>
      </c>
      <c r="B75" s="156">
        <v>1</v>
      </c>
      <c r="C75" s="166"/>
      <c r="D75" s="184"/>
      <c r="E75" s="28" t="s">
        <v>68</v>
      </c>
      <c r="F75" s="28" t="s">
        <v>151</v>
      </c>
      <c r="G75" s="28" t="s">
        <v>282</v>
      </c>
      <c r="H75" s="19">
        <v>1957</v>
      </c>
      <c r="I75" s="19">
        <v>980</v>
      </c>
      <c r="J75" s="241" t="s">
        <v>11</v>
      </c>
      <c r="K75" s="242" t="s">
        <v>11</v>
      </c>
      <c r="L75" s="243">
        <v>2027</v>
      </c>
      <c r="M75" s="24"/>
      <c r="N75" s="24"/>
      <c r="O75" s="9"/>
      <c r="P75" s="230"/>
      <c r="Q75" s="229" t="s">
        <v>414</v>
      </c>
      <c r="R75" s="153"/>
      <c r="S75" s="9"/>
      <c r="T75" s="7"/>
      <c r="U75" s="7"/>
      <c r="V75" s="7"/>
      <c r="W75" s="7"/>
      <c r="X75" s="9"/>
      <c r="Y75" s="9"/>
      <c r="Z75" s="9"/>
      <c r="AA75" s="9"/>
      <c r="AB75" s="9"/>
      <c r="AC75" s="7"/>
      <c r="AD75" s="7"/>
      <c r="AE75" s="7"/>
      <c r="AF75" s="7"/>
      <c r="AG75" s="9"/>
      <c r="AH75" s="9"/>
      <c r="AI75" s="9"/>
      <c r="AJ75" s="9"/>
      <c r="AK75" s="9"/>
      <c r="AL75" s="7"/>
      <c r="AM75" s="8"/>
      <c r="AN75" s="7"/>
      <c r="AO75" s="7"/>
      <c r="AP75" s="9"/>
      <c r="AQ75" s="9"/>
      <c r="AR75" s="9"/>
      <c r="AS75" s="9"/>
      <c r="AT75" s="9"/>
      <c r="AU75" s="7"/>
      <c r="AV75" s="8"/>
    </row>
    <row r="76" spans="1:48" s="2" customFormat="1" ht="54" customHeight="1" x14ac:dyDescent="0.25">
      <c r="A76" s="19">
        <f t="shared" si="0"/>
        <v>56</v>
      </c>
      <c r="B76" s="156">
        <v>1</v>
      </c>
      <c r="C76" s="166"/>
      <c r="D76" s="184"/>
      <c r="E76" s="28" t="s">
        <v>152</v>
      </c>
      <c r="F76" s="28" t="s">
        <v>153</v>
      </c>
      <c r="G76" s="28" t="s">
        <v>282</v>
      </c>
      <c r="H76" s="19">
        <v>1958</v>
      </c>
      <c r="I76" s="19">
        <v>1000</v>
      </c>
      <c r="J76" s="241" t="s">
        <v>11</v>
      </c>
      <c r="K76" s="242" t="s">
        <v>11</v>
      </c>
      <c r="L76" s="243">
        <v>2027</v>
      </c>
      <c r="M76" s="24"/>
      <c r="N76" s="24"/>
      <c r="O76" s="9"/>
      <c r="P76" s="230"/>
      <c r="Q76" s="229" t="s">
        <v>414</v>
      </c>
      <c r="R76" s="153"/>
      <c r="S76" s="9"/>
      <c r="T76" s="7"/>
      <c r="U76" s="7"/>
      <c r="V76" s="7"/>
      <c r="W76" s="7"/>
      <c r="X76" s="9"/>
      <c r="Y76" s="9"/>
      <c r="Z76" s="9"/>
      <c r="AA76" s="9"/>
      <c r="AB76" s="9"/>
      <c r="AC76" s="7"/>
      <c r="AD76" s="7"/>
      <c r="AE76" s="7"/>
      <c r="AF76" s="7"/>
      <c r="AG76" s="9"/>
      <c r="AH76" s="9"/>
      <c r="AI76" s="9"/>
      <c r="AJ76" s="9"/>
      <c r="AK76" s="9"/>
      <c r="AL76" s="7"/>
      <c r="AM76" s="8"/>
      <c r="AN76" s="7"/>
      <c r="AO76" s="7"/>
      <c r="AP76" s="9"/>
      <c r="AQ76" s="9"/>
      <c r="AR76" s="9"/>
      <c r="AS76" s="9"/>
      <c r="AT76" s="9"/>
      <c r="AU76" s="7"/>
      <c r="AV76" s="8"/>
    </row>
    <row r="77" spans="1:48" s="2" customFormat="1" ht="54" customHeight="1" x14ac:dyDescent="0.25">
      <c r="A77" s="19">
        <f t="shared" si="0"/>
        <v>57</v>
      </c>
      <c r="B77" s="156">
        <v>1</v>
      </c>
      <c r="C77" s="166"/>
      <c r="D77" s="184"/>
      <c r="E77" s="28" t="s">
        <v>154</v>
      </c>
      <c r="F77" s="28" t="s">
        <v>150</v>
      </c>
      <c r="G77" s="28" t="s">
        <v>282</v>
      </c>
      <c r="H77" s="19">
        <v>1991</v>
      </c>
      <c r="I77" s="19">
        <v>260</v>
      </c>
      <c r="J77" s="241" t="s">
        <v>11</v>
      </c>
      <c r="K77" s="242" t="s">
        <v>11</v>
      </c>
      <c r="L77" s="243">
        <v>2026</v>
      </c>
      <c r="M77" s="24"/>
      <c r="N77" s="24"/>
      <c r="O77" s="9"/>
      <c r="P77" s="230"/>
      <c r="Q77" s="229" t="s">
        <v>414</v>
      </c>
      <c r="R77" s="153"/>
      <c r="S77" s="9"/>
      <c r="T77" s="7"/>
      <c r="U77" s="7"/>
      <c r="V77" s="7"/>
      <c r="W77" s="7"/>
      <c r="X77" s="9"/>
      <c r="Y77" s="9"/>
      <c r="Z77" s="9"/>
      <c r="AA77" s="9"/>
      <c r="AB77" s="9"/>
      <c r="AC77" s="7"/>
      <c r="AD77" s="7"/>
      <c r="AE77" s="7"/>
      <c r="AF77" s="7"/>
      <c r="AG77" s="9"/>
      <c r="AH77" s="9"/>
      <c r="AI77" s="9"/>
      <c r="AJ77" s="9"/>
      <c r="AK77" s="9"/>
      <c r="AL77" s="7"/>
      <c r="AM77" s="8"/>
      <c r="AN77" s="7"/>
      <c r="AO77" s="7"/>
      <c r="AP77" s="9"/>
      <c r="AQ77" s="9"/>
      <c r="AR77" s="9"/>
      <c r="AS77" s="9"/>
      <c r="AT77" s="9"/>
      <c r="AU77" s="7"/>
      <c r="AV77" s="8"/>
    </row>
    <row r="78" spans="1:48" s="2" customFormat="1" ht="54" customHeight="1" x14ac:dyDescent="0.25">
      <c r="A78" s="19">
        <f t="shared" si="0"/>
        <v>58</v>
      </c>
      <c r="B78" s="156">
        <v>1</v>
      </c>
      <c r="C78" s="166"/>
      <c r="D78" s="184"/>
      <c r="E78" s="28" t="s">
        <v>154</v>
      </c>
      <c r="F78" s="28" t="s">
        <v>155</v>
      </c>
      <c r="G78" s="28" t="s">
        <v>282</v>
      </c>
      <c r="H78" s="19">
        <v>1989</v>
      </c>
      <c r="I78" s="19">
        <v>260</v>
      </c>
      <c r="J78" s="241" t="s">
        <v>11</v>
      </c>
      <c r="K78" s="241" t="s">
        <v>11</v>
      </c>
      <c r="L78" s="243">
        <v>2026</v>
      </c>
      <c r="M78" s="24"/>
      <c r="N78" s="24"/>
      <c r="O78" s="9"/>
      <c r="P78" s="230"/>
      <c r="Q78" s="229" t="s">
        <v>414</v>
      </c>
      <c r="R78" s="153"/>
      <c r="S78" s="9"/>
      <c r="T78" s="7"/>
      <c r="U78" s="7"/>
      <c r="V78" s="7"/>
      <c r="W78" s="7"/>
      <c r="X78" s="9"/>
      <c r="Y78" s="9"/>
      <c r="Z78" s="9"/>
      <c r="AA78" s="9"/>
      <c r="AB78" s="9"/>
      <c r="AC78" s="7"/>
      <c r="AD78" s="7"/>
      <c r="AE78" s="7"/>
      <c r="AF78" s="7"/>
      <c r="AG78" s="9"/>
      <c r="AH78" s="9"/>
      <c r="AI78" s="9"/>
      <c r="AJ78" s="9"/>
      <c r="AK78" s="9"/>
      <c r="AL78" s="7"/>
      <c r="AM78" s="8"/>
      <c r="AN78" s="7"/>
      <c r="AO78" s="7"/>
      <c r="AP78" s="9"/>
      <c r="AQ78" s="9"/>
      <c r="AR78" s="9"/>
      <c r="AS78" s="9"/>
      <c r="AT78" s="9"/>
      <c r="AU78" s="7"/>
      <c r="AV78" s="8"/>
    </row>
    <row r="79" spans="1:48" s="2" customFormat="1" ht="54" customHeight="1" x14ac:dyDescent="0.25">
      <c r="A79" s="19">
        <f t="shared" si="0"/>
        <v>59</v>
      </c>
      <c r="B79" s="156">
        <v>1</v>
      </c>
      <c r="C79" s="166"/>
      <c r="D79" s="184"/>
      <c r="E79" s="28" t="s">
        <v>70</v>
      </c>
      <c r="F79" s="28" t="s">
        <v>155</v>
      </c>
      <c r="G79" s="28" t="s">
        <v>282</v>
      </c>
      <c r="H79" s="19">
        <v>1983</v>
      </c>
      <c r="I79" s="19">
        <v>1450</v>
      </c>
      <c r="J79" s="241" t="s">
        <v>11</v>
      </c>
      <c r="K79" s="242" t="s">
        <v>11</v>
      </c>
      <c r="L79" s="243">
        <v>2026</v>
      </c>
      <c r="M79" s="24"/>
      <c r="N79" s="24"/>
      <c r="O79" s="9"/>
      <c r="P79" s="230"/>
      <c r="Q79" s="229" t="s">
        <v>414</v>
      </c>
      <c r="R79" s="153"/>
      <c r="S79" s="9"/>
      <c r="T79" s="7"/>
      <c r="U79" s="7"/>
      <c r="V79" s="7"/>
      <c r="W79" s="7"/>
      <c r="X79" s="9"/>
      <c r="Y79" s="9"/>
      <c r="Z79" s="9"/>
      <c r="AA79" s="9"/>
      <c r="AB79" s="9"/>
      <c r="AC79" s="7"/>
      <c r="AD79" s="7"/>
      <c r="AE79" s="7"/>
      <c r="AF79" s="7"/>
      <c r="AG79" s="9"/>
      <c r="AH79" s="9"/>
      <c r="AI79" s="9"/>
      <c r="AJ79" s="9"/>
      <c r="AK79" s="9"/>
      <c r="AL79" s="7"/>
      <c r="AM79" s="8"/>
      <c r="AN79" s="7"/>
      <c r="AO79" s="7"/>
      <c r="AP79" s="9"/>
      <c r="AQ79" s="9"/>
      <c r="AR79" s="9"/>
      <c r="AS79" s="9"/>
      <c r="AT79" s="9"/>
      <c r="AU79" s="7"/>
      <c r="AV79" s="8"/>
    </row>
    <row r="80" spans="1:48" s="2" customFormat="1" ht="54" customHeight="1" x14ac:dyDescent="0.25">
      <c r="A80" s="19">
        <f t="shared" si="0"/>
        <v>60</v>
      </c>
      <c r="B80" s="156">
        <v>1</v>
      </c>
      <c r="C80" s="166"/>
      <c r="D80" s="184"/>
      <c r="E80" s="28" t="s">
        <v>324</v>
      </c>
      <c r="F80" s="28" t="s">
        <v>155</v>
      </c>
      <c r="G80" s="28" t="s">
        <v>282</v>
      </c>
      <c r="H80" s="19">
        <v>1983</v>
      </c>
      <c r="I80" s="19">
        <v>150</v>
      </c>
      <c r="J80" s="241" t="s">
        <v>11</v>
      </c>
      <c r="K80" s="242" t="s">
        <v>11</v>
      </c>
      <c r="L80" s="243">
        <v>2026</v>
      </c>
      <c r="M80" s="24"/>
      <c r="N80" s="24"/>
      <c r="O80" s="9"/>
      <c r="P80" s="230"/>
      <c r="Q80" s="229" t="s">
        <v>414</v>
      </c>
      <c r="R80" s="153"/>
      <c r="S80" s="9"/>
      <c r="T80" s="7"/>
      <c r="U80" s="7"/>
      <c r="V80" s="7"/>
      <c r="W80" s="7"/>
      <c r="X80" s="9"/>
      <c r="Y80" s="9"/>
      <c r="Z80" s="9"/>
      <c r="AA80" s="9"/>
      <c r="AB80" s="9"/>
      <c r="AC80" s="7"/>
      <c r="AD80" s="7"/>
      <c r="AE80" s="7"/>
      <c r="AF80" s="7"/>
      <c r="AG80" s="9"/>
      <c r="AH80" s="9"/>
      <c r="AI80" s="9"/>
      <c r="AJ80" s="9"/>
      <c r="AK80" s="9"/>
      <c r="AL80" s="7"/>
      <c r="AM80" s="8"/>
      <c r="AN80" s="7"/>
      <c r="AO80" s="7"/>
      <c r="AP80" s="9"/>
      <c r="AQ80" s="9"/>
      <c r="AR80" s="9"/>
      <c r="AS80" s="9"/>
      <c r="AT80" s="9"/>
      <c r="AU80" s="7"/>
      <c r="AV80" s="8"/>
    </row>
    <row r="81" spans="1:48" s="2" customFormat="1" ht="54" customHeight="1" x14ac:dyDescent="0.25">
      <c r="A81" s="19">
        <f t="shared" si="0"/>
        <v>61</v>
      </c>
      <c r="B81" s="156">
        <v>1</v>
      </c>
      <c r="C81" s="166"/>
      <c r="D81" s="184"/>
      <c r="E81" s="28" t="s">
        <v>38</v>
      </c>
      <c r="F81" s="28" t="s">
        <v>155</v>
      </c>
      <c r="G81" s="28" t="s">
        <v>282</v>
      </c>
      <c r="H81" s="19">
        <v>1983</v>
      </c>
      <c r="I81" s="19">
        <v>50</v>
      </c>
      <c r="J81" s="241" t="s">
        <v>11</v>
      </c>
      <c r="K81" s="242" t="s">
        <v>11</v>
      </c>
      <c r="L81" s="243">
        <v>2026</v>
      </c>
      <c r="M81" s="24"/>
      <c r="N81" s="24"/>
      <c r="O81" s="9"/>
      <c r="P81" s="230"/>
      <c r="Q81" s="229" t="s">
        <v>414</v>
      </c>
      <c r="R81" s="153"/>
      <c r="S81" s="9"/>
      <c r="T81" s="7"/>
      <c r="U81" s="7"/>
      <c r="V81" s="7"/>
      <c r="W81" s="7"/>
      <c r="X81" s="9"/>
      <c r="Y81" s="9"/>
      <c r="Z81" s="9"/>
      <c r="AA81" s="9"/>
      <c r="AB81" s="9"/>
      <c r="AC81" s="7"/>
      <c r="AD81" s="7"/>
      <c r="AE81" s="7"/>
      <c r="AF81" s="7"/>
      <c r="AG81" s="9"/>
      <c r="AH81" s="9"/>
      <c r="AI81" s="9"/>
      <c r="AJ81" s="9"/>
      <c r="AK81" s="9"/>
      <c r="AL81" s="7"/>
      <c r="AM81" s="8"/>
      <c r="AN81" s="7"/>
      <c r="AO81" s="7"/>
      <c r="AP81" s="9"/>
      <c r="AQ81" s="9"/>
      <c r="AR81" s="9"/>
      <c r="AS81" s="9"/>
      <c r="AT81" s="9"/>
      <c r="AU81" s="7"/>
      <c r="AV81" s="8"/>
    </row>
    <row r="82" spans="1:48" s="2" customFormat="1" ht="54" customHeight="1" x14ac:dyDescent="0.25">
      <c r="A82" s="19">
        <f t="shared" si="0"/>
        <v>62</v>
      </c>
      <c r="B82" s="156">
        <v>1</v>
      </c>
      <c r="C82" s="166"/>
      <c r="D82" s="184"/>
      <c r="E82" s="28" t="s">
        <v>345</v>
      </c>
      <c r="F82" s="28" t="s">
        <v>325</v>
      </c>
      <c r="G82" s="28" t="s">
        <v>282</v>
      </c>
      <c r="H82" s="19">
        <v>1983</v>
      </c>
      <c r="I82" s="19">
        <v>1500</v>
      </c>
      <c r="J82" s="241" t="s">
        <v>11</v>
      </c>
      <c r="K82" s="242" t="s">
        <v>11</v>
      </c>
      <c r="L82" s="243">
        <v>2027</v>
      </c>
      <c r="M82" s="24"/>
      <c r="N82" s="24"/>
      <c r="O82" s="9"/>
      <c r="P82" s="230"/>
      <c r="Q82" s="229" t="s">
        <v>414</v>
      </c>
      <c r="R82" s="153"/>
      <c r="S82" s="9"/>
      <c r="T82" s="7"/>
      <c r="U82" s="7"/>
      <c r="V82" s="7"/>
      <c r="W82" s="7"/>
      <c r="X82" s="9"/>
      <c r="Y82" s="9"/>
      <c r="Z82" s="9"/>
      <c r="AA82" s="9"/>
      <c r="AB82" s="9"/>
      <c r="AC82" s="7"/>
      <c r="AD82" s="7"/>
      <c r="AE82" s="7"/>
      <c r="AF82" s="7"/>
      <c r="AG82" s="9"/>
      <c r="AH82" s="9"/>
      <c r="AI82" s="9"/>
      <c r="AJ82" s="9"/>
      <c r="AK82" s="9"/>
      <c r="AL82" s="7"/>
      <c r="AM82" s="8"/>
      <c r="AN82" s="7"/>
      <c r="AO82" s="7"/>
      <c r="AP82" s="9"/>
      <c r="AQ82" s="9"/>
      <c r="AR82" s="9"/>
      <c r="AS82" s="9"/>
      <c r="AT82" s="9"/>
      <c r="AU82" s="7"/>
      <c r="AV82" s="8"/>
    </row>
    <row r="83" spans="1:48" s="2" customFormat="1" ht="54" customHeight="1" x14ac:dyDescent="0.25">
      <c r="A83" s="19">
        <f t="shared" si="0"/>
        <v>63</v>
      </c>
      <c r="B83" s="156">
        <v>1</v>
      </c>
      <c r="C83" s="166"/>
      <c r="D83" s="184"/>
      <c r="E83" s="28" t="s">
        <v>323</v>
      </c>
      <c r="F83" s="28" t="s">
        <v>325</v>
      </c>
      <c r="G83" s="28" t="s">
        <v>282</v>
      </c>
      <c r="H83" s="19">
        <v>1983</v>
      </c>
      <c r="I83" s="19">
        <v>600</v>
      </c>
      <c r="J83" s="241" t="s">
        <v>11</v>
      </c>
      <c r="K83" s="242" t="s">
        <v>11</v>
      </c>
      <c r="L83" s="243">
        <v>2029</v>
      </c>
      <c r="M83" s="24"/>
      <c r="N83" s="24"/>
      <c r="O83" s="9"/>
      <c r="P83" s="230"/>
      <c r="Q83" s="229" t="s">
        <v>414</v>
      </c>
      <c r="R83" s="153"/>
      <c r="S83" s="9"/>
      <c r="T83" s="7"/>
      <c r="U83" s="7"/>
      <c r="V83" s="7"/>
      <c r="W83" s="7"/>
      <c r="X83" s="9"/>
      <c r="Y83" s="9"/>
      <c r="Z83" s="9"/>
      <c r="AA83" s="9"/>
      <c r="AB83" s="9"/>
      <c r="AC83" s="7"/>
      <c r="AD83" s="7"/>
      <c r="AE83" s="7"/>
      <c r="AF83" s="7"/>
      <c r="AG83" s="9"/>
      <c r="AH83" s="9"/>
      <c r="AI83" s="9"/>
      <c r="AJ83" s="9"/>
      <c r="AK83" s="9"/>
      <c r="AL83" s="7"/>
      <c r="AM83" s="8"/>
      <c r="AN83" s="7"/>
      <c r="AO83" s="7"/>
      <c r="AP83" s="9"/>
      <c r="AQ83" s="9"/>
      <c r="AR83" s="9"/>
      <c r="AS83" s="9"/>
      <c r="AT83" s="9"/>
      <c r="AU83" s="7"/>
      <c r="AV83" s="8"/>
    </row>
    <row r="84" spans="1:48" s="2" customFormat="1" ht="54" customHeight="1" x14ac:dyDescent="0.25">
      <c r="A84" s="19">
        <f t="shared" si="0"/>
        <v>64</v>
      </c>
      <c r="B84" s="156">
        <v>1</v>
      </c>
      <c r="C84" s="166"/>
      <c r="D84" s="184"/>
      <c r="E84" s="28" t="s">
        <v>36</v>
      </c>
      <c r="F84" s="28" t="s">
        <v>155</v>
      </c>
      <c r="G84" s="28" t="s">
        <v>282</v>
      </c>
      <c r="H84" s="19">
        <v>1983</v>
      </c>
      <c r="I84" s="19">
        <v>900</v>
      </c>
      <c r="J84" s="241" t="s">
        <v>11</v>
      </c>
      <c r="K84" s="242" t="s">
        <v>11</v>
      </c>
      <c r="L84" s="243">
        <v>2029</v>
      </c>
      <c r="M84" s="24"/>
      <c r="N84" s="24"/>
      <c r="O84" s="9"/>
      <c r="P84" s="230"/>
      <c r="Q84" s="229" t="s">
        <v>414</v>
      </c>
      <c r="R84" s="153"/>
      <c r="S84" s="9"/>
      <c r="T84" s="7"/>
      <c r="U84" s="7"/>
      <c r="V84" s="7"/>
      <c r="W84" s="7"/>
      <c r="X84" s="9"/>
      <c r="Y84" s="9"/>
      <c r="Z84" s="9"/>
      <c r="AA84" s="9"/>
      <c r="AB84" s="9"/>
      <c r="AC84" s="7"/>
      <c r="AD84" s="7"/>
      <c r="AE84" s="7"/>
      <c r="AF84" s="7"/>
      <c r="AG84" s="9"/>
      <c r="AH84" s="9"/>
      <c r="AI84" s="9"/>
      <c r="AJ84" s="9"/>
      <c r="AK84" s="9"/>
      <c r="AL84" s="7"/>
      <c r="AM84" s="8"/>
      <c r="AN84" s="7"/>
      <c r="AO84" s="7"/>
      <c r="AP84" s="9"/>
      <c r="AQ84" s="9"/>
      <c r="AR84" s="9"/>
      <c r="AS84" s="9"/>
      <c r="AT84" s="9"/>
      <c r="AU84" s="7"/>
      <c r="AV84" s="8"/>
    </row>
    <row r="85" spans="1:48" s="2" customFormat="1" ht="54" customHeight="1" x14ac:dyDescent="0.25">
      <c r="A85" s="19">
        <f t="shared" si="0"/>
        <v>65</v>
      </c>
      <c r="B85" s="156">
        <v>1</v>
      </c>
      <c r="C85" s="166"/>
      <c r="D85" s="184"/>
      <c r="E85" s="28" t="s">
        <v>342</v>
      </c>
      <c r="F85" s="28" t="s">
        <v>325</v>
      </c>
      <c r="G85" s="28" t="s">
        <v>282</v>
      </c>
      <c r="H85" s="19">
        <v>1983</v>
      </c>
      <c r="I85" s="19">
        <v>900</v>
      </c>
      <c r="J85" s="241" t="s">
        <v>11</v>
      </c>
      <c r="K85" s="242" t="s">
        <v>11</v>
      </c>
      <c r="L85" s="243">
        <v>2027</v>
      </c>
      <c r="M85" s="24"/>
      <c r="N85" s="24"/>
      <c r="O85" s="9"/>
      <c r="P85" s="230"/>
      <c r="Q85" s="229" t="s">
        <v>414</v>
      </c>
      <c r="R85" s="153"/>
      <c r="S85" s="9"/>
      <c r="T85" s="7"/>
      <c r="U85" s="7"/>
      <c r="V85" s="7"/>
      <c r="W85" s="7"/>
      <c r="X85" s="9"/>
      <c r="Y85" s="9"/>
      <c r="Z85" s="9"/>
      <c r="AA85" s="9"/>
      <c r="AB85" s="9"/>
      <c r="AC85" s="7"/>
      <c r="AD85" s="7"/>
      <c r="AE85" s="7"/>
      <c r="AF85" s="7"/>
      <c r="AG85" s="9"/>
      <c r="AH85" s="9"/>
      <c r="AI85" s="9"/>
      <c r="AJ85" s="9"/>
      <c r="AK85" s="9"/>
      <c r="AL85" s="7"/>
      <c r="AM85" s="8"/>
      <c r="AN85" s="7"/>
      <c r="AO85" s="7"/>
      <c r="AP85" s="9"/>
      <c r="AQ85" s="9"/>
      <c r="AR85" s="9"/>
      <c r="AS85" s="9"/>
      <c r="AT85" s="9"/>
      <c r="AU85" s="7"/>
      <c r="AV85" s="8"/>
    </row>
    <row r="86" spans="1:48" s="2" customFormat="1" ht="54.6" customHeight="1" x14ac:dyDescent="0.25">
      <c r="A86" s="19">
        <f t="shared" si="0"/>
        <v>66</v>
      </c>
      <c r="B86" s="156">
        <v>1</v>
      </c>
      <c r="C86" s="166"/>
      <c r="D86" s="184"/>
      <c r="E86" s="28" t="s">
        <v>346</v>
      </c>
      <c r="F86" s="28" t="s">
        <v>325</v>
      </c>
      <c r="G86" s="28" t="s">
        <v>282</v>
      </c>
      <c r="H86" s="19">
        <v>1983</v>
      </c>
      <c r="I86" s="19">
        <v>80</v>
      </c>
      <c r="J86" s="241" t="s">
        <v>11</v>
      </c>
      <c r="K86" s="242" t="s">
        <v>11</v>
      </c>
      <c r="L86" s="243">
        <v>2027</v>
      </c>
      <c r="M86" s="24"/>
      <c r="N86" s="24"/>
      <c r="O86" s="9"/>
      <c r="P86" s="230"/>
      <c r="Q86" s="229" t="s">
        <v>414</v>
      </c>
      <c r="R86" s="153"/>
      <c r="S86" s="9"/>
      <c r="T86" s="7"/>
      <c r="U86" s="7"/>
      <c r="V86" s="7"/>
      <c r="W86" s="7"/>
      <c r="X86" s="9"/>
      <c r="Y86" s="9"/>
      <c r="Z86" s="9"/>
      <c r="AA86" s="9"/>
      <c r="AB86" s="9"/>
      <c r="AC86" s="7"/>
      <c r="AD86" s="7"/>
      <c r="AE86" s="7"/>
      <c r="AF86" s="7"/>
      <c r="AG86" s="9"/>
      <c r="AH86" s="9"/>
      <c r="AI86" s="9"/>
      <c r="AJ86" s="9"/>
      <c r="AK86" s="9"/>
      <c r="AL86" s="7"/>
      <c r="AM86" s="8"/>
      <c r="AN86" s="7"/>
      <c r="AO86" s="7"/>
      <c r="AP86" s="9"/>
      <c r="AQ86" s="9"/>
      <c r="AR86" s="9"/>
      <c r="AS86" s="9"/>
      <c r="AT86" s="9"/>
      <c r="AU86" s="7"/>
      <c r="AV86" s="8"/>
    </row>
    <row r="87" spans="1:48" s="2" customFormat="1" ht="54" customHeight="1" x14ac:dyDescent="0.25">
      <c r="A87" s="19">
        <f t="shared" si="0"/>
        <v>67</v>
      </c>
      <c r="B87" s="156">
        <v>1</v>
      </c>
      <c r="C87" s="166"/>
      <c r="D87" s="184"/>
      <c r="E87" s="28" t="s">
        <v>343</v>
      </c>
      <c r="F87" s="28" t="s">
        <v>325</v>
      </c>
      <c r="G87" s="28" t="s">
        <v>282</v>
      </c>
      <c r="H87" s="19">
        <v>1983</v>
      </c>
      <c r="I87" s="19">
        <v>850</v>
      </c>
      <c r="J87" s="241" t="s">
        <v>11</v>
      </c>
      <c r="K87" s="242" t="s">
        <v>11</v>
      </c>
      <c r="L87" s="243">
        <v>2027</v>
      </c>
      <c r="M87" s="24"/>
      <c r="N87" s="24"/>
      <c r="O87" s="9"/>
      <c r="P87" s="230"/>
      <c r="Q87" s="229" t="s">
        <v>414</v>
      </c>
      <c r="R87" s="153"/>
      <c r="S87" s="9"/>
      <c r="T87" s="7"/>
      <c r="U87" s="7"/>
      <c r="V87" s="7"/>
      <c r="W87" s="7"/>
      <c r="X87" s="9"/>
      <c r="Y87" s="9"/>
      <c r="Z87" s="9"/>
      <c r="AA87" s="9"/>
      <c r="AB87" s="9"/>
      <c r="AC87" s="7"/>
      <c r="AD87" s="7"/>
      <c r="AE87" s="7"/>
      <c r="AF87" s="7"/>
      <c r="AG87" s="9"/>
      <c r="AH87" s="9"/>
      <c r="AI87" s="9"/>
      <c r="AJ87" s="9"/>
      <c r="AK87" s="9"/>
      <c r="AL87" s="7"/>
      <c r="AM87" s="8"/>
      <c r="AN87" s="7"/>
      <c r="AO87" s="7"/>
      <c r="AP87" s="9"/>
      <c r="AQ87" s="9"/>
      <c r="AR87" s="9"/>
      <c r="AS87" s="9"/>
      <c r="AT87" s="9"/>
      <c r="AU87" s="7"/>
      <c r="AV87" s="8"/>
    </row>
    <row r="88" spans="1:48" s="2" customFormat="1" ht="48.6" customHeight="1" x14ac:dyDescent="0.25">
      <c r="A88" s="19">
        <f t="shared" si="0"/>
        <v>68</v>
      </c>
      <c r="B88" s="156">
        <v>1</v>
      </c>
      <c r="C88" s="166"/>
      <c r="D88" s="184"/>
      <c r="E88" s="28" t="s">
        <v>344</v>
      </c>
      <c r="F88" s="28" t="s">
        <v>325</v>
      </c>
      <c r="G88" s="28" t="s">
        <v>282</v>
      </c>
      <c r="H88" s="19">
        <v>1983</v>
      </c>
      <c r="I88" s="19">
        <v>900</v>
      </c>
      <c r="J88" s="241" t="s">
        <v>11</v>
      </c>
      <c r="K88" s="242" t="s">
        <v>11</v>
      </c>
      <c r="L88" s="243">
        <v>2027</v>
      </c>
      <c r="M88" s="24"/>
      <c r="N88" s="24"/>
      <c r="O88" s="9"/>
      <c r="P88" s="230"/>
      <c r="Q88" s="229" t="s">
        <v>414</v>
      </c>
      <c r="R88" s="153"/>
      <c r="S88" s="9"/>
      <c r="T88" s="7"/>
      <c r="U88" s="7"/>
      <c r="V88" s="7"/>
      <c r="W88" s="7"/>
      <c r="X88" s="9"/>
      <c r="Y88" s="9"/>
      <c r="Z88" s="9"/>
      <c r="AA88" s="9"/>
      <c r="AB88" s="9"/>
      <c r="AC88" s="7"/>
      <c r="AD88" s="7"/>
      <c r="AE88" s="7"/>
      <c r="AF88" s="7"/>
      <c r="AG88" s="9"/>
      <c r="AH88" s="9"/>
      <c r="AI88" s="9"/>
      <c r="AJ88" s="9"/>
      <c r="AK88" s="9"/>
      <c r="AL88" s="7"/>
      <c r="AM88" s="8"/>
      <c r="AN88" s="7"/>
      <c r="AO88" s="7"/>
      <c r="AP88" s="9"/>
      <c r="AQ88" s="9"/>
      <c r="AR88" s="9"/>
      <c r="AS88" s="9"/>
      <c r="AT88" s="9"/>
      <c r="AU88" s="7"/>
      <c r="AV88" s="8"/>
    </row>
    <row r="89" spans="1:48" s="2" customFormat="1" ht="54" customHeight="1" x14ac:dyDescent="0.25">
      <c r="A89" s="19">
        <f t="shared" si="0"/>
        <v>69</v>
      </c>
      <c r="B89" s="156">
        <v>1</v>
      </c>
      <c r="C89" s="166"/>
      <c r="D89" s="184"/>
      <c r="E89" s="28" t="s">
        <v>480</v>
      </c>
      <c r="F89" s="28" t="s">
        <v>325</v>
      </c>
      <c r="G89" s="28" t="s">
        <v>282</v>
      </c>
      <c r="H89" s="19">
        <v>1983</v>
      </c>
      <c r="I89" s="19">
        <v>250</v>
      </c>
      <c r="J89" s="241" t="s">
        <v>11</v>
      </c>
      <c r="K89" s="242" t="s">
        <v>11</v>
      </c>
      <c r="L89" s="243">
        <v>2027</v>
      </c>
      <c r="M89" s="24"/>
      <c r="N89" s="24"/>
      <c r="O89" s="9"/>
      <c r="P89" s="230"/>
      <c r="Q89" s="229" t="s">
        <v>414</v>
      </c>
      <c r="R89" s="153"/>
      <c r="S89" s="9"/>
      <c r="T89" s="7"/>
      <c r="U89" s="7"/>
      <c r="V89" s="7"/>
      <c r="W89" s="7"/>
      <c r="X89" s="9"/>
      <c r="Y89" s="9"/>
      <c r="Z89" s="9"/>
      <c r="AA89" s="9"/>
      <c r="AB89" s="9"/>
      <c r="AC89" s="7"/>
      <c r="AD89" s="7"/>
      <c r="AE89" s="7"/>
      <c r="AF89" s="7"/>
      <c r="AG89" s="9"/>
      <c r="AH89" s="9"/>
      <c r="AI89" s="9"/>
      <c r="AJ89" s="9"/>
      <c r="AK89" s="9"/>
      <c r="AL89" s="7"/>
      <c r="AM89" s="8"/>
      <c r="AN89" s="7"/>
      <c r="AO89" s="7"/>
      <c r="AP89" s="9"/>
      <c r="AQ89" s="9"/>
      <c r="AR89" s="9"/>
      <c r="AS89" s="9"/>
      <c r="AT89" s="9"/>
      <c r="AU89" s="7"/>
      <c r="AV89" s="8"/>
    </row>
    <row r="90" spans="1:48" s="2" customFormat="1" ht="54" customHeight="1" x14ac:dyDescent="0.25">
      <c r="A90" s="19">
        <f t="shared" si="0"/>
        <v>70</v>
      </c>
      <c r="B90" s="156">
        <v>1</v>
      </c>
      <c r="C90" s="166"/>
      <c r="D90" s="184"/>
      <c r="E90" s="28" t="s">
        <v>347</v>
      </c>
      <c r="F90" s="28" t="s">
        <v>325</v>
      </c>
      <c r="G90" s="28" t="s">
        <v>282</v>
      </c>
      <c r="H90" s="19">
        <v>1983</v>
      </c>
      <c r="I90" s="19">
        <v>75</v>
      </c>
      <c r="J90" s="241" t="s">
        <v>11</v>
      </c>
      <c r="K90" s="242" t="s">
        <v>11</v>
      </c>
      <c r="L90" s="243">
        <v>2027</v>
      </c>
      <c r="M90" s="24"/>
      <c r="N90" s="24"/>
      <c r="O90" s="9"/>
      <c r="P90" s="230"/>
      <c r="Q90" s="229" t="s">
        <v>414</v>
      </c>
      <c r="R90" s="153"/>
      <c r="S90" s="9"/>
      <c r="T90" s="7"/>
      <c r="U90" s="7"/>
      <c r="V90" s="7"/>
      <c r="W90" s="7"/>
      <c r="X90" s="9"/>
      <c r="Y90" s="9"/>
      <c r="Z90" s="9"/>
      <c r="AA90" s="9"/>
      <c r="AB90" s="9"/>
      <c r="AC90" s="7"/>
      <c r="AD90" s="7"/>
      <c r="AE90" s="7"/>
      <c r="AF90" s="7"/>
      <c r="AG90" s="9"/>
      <c r="AH90" s="9"/>
      <c r="AI90" s="9"/>
      <c r="AJ90" s="9"/>
      <c r="AK90" s="9"/>
      <c r="AL90" s="7"/>
      <c r="AM90" s="8"/>
      <c r="AN90" s="7"/>
      <c r="AO90" s="7"/>
      <c r="AP90" s="9"/>
      <c r="AQ90" s="9"/>
      <c r="AR90" s="9"/>
      <c r="AS90" s="9"/>
      <c r="AT90" s="9"/>
      <c r="AU90" s="7"/>
      <c r="AV90" s="8"/>
    </row>
    <row r="91" spans="1:48" s="212" customFormat="1" ht="54" customHeight="1" x14ac:dyDescent="0.25">
      <c r="A91" s="19">
        <f t="shared" si="0"/>
        <v>71</v>
      </c>
      <c r="B91" s="156">
        <v>1</v>
      </c>
      <c r="C91" s="166"/>
      <c r="D91" s="211"/>
      <c r="E91" s="28" t="s">
        <v>348</v>
      </c>
      <c r="F91" s="28" t="s">
        <v>325</v>
      </c>
      <c r="G91" s="28" t="s">
        <v>282</v>
      </c>
      <c r="H91" s="19">
        <v>1983</v>
      </c>
      <c r="I91" s="19">
        <v>102</v>
      </c>
      <c r="J91" s="242" t="s">
        <v>11</v>
      </c>
      <c r="K91" s="242" t="s">
        <v>11</v>
      </c>
      <c r="L91" s="243">
        <v>2027</v>
      </c>
      <c r="M91" s="24"/>
      <c r="N91" s="24"/>
      <c r="O91" s="9"/>
      <c r="P91" s="230"/>
      <c r="Q91" s="229" t="s">
        <v>414</v>
      </c>
      <c r="R91" s="153"/>
      <c r="S91" s="9"/>
      <c r="T91" s="7"/>
      <c r="U91" s="7"/>
      <c r="V91" s="7"/>
      <c r="W91" s="7"/>
      <c r="X91" s="9"/>
      <c r="Y91" s="9"/>
      <c r="Z91" s="9"/>
      <c r="AA91" s="9"/>
      <c r="AB91" s="9"/>
      <c r="AC91" s="7"/>
      <c r="AD91" s="7"/>
      <c r="AE91" s="7"/>
      <c r="AF91" s="7"/>
      <c r="AG91" s="9"/>
      <c r="AH91" s="9"/>
      <c r="AI91" s="9"/>
      <c r="AJ91" s="9"/>
      <c r="AK91" s="9"/>
      <c r="AL91" s="7"/>
      <c r="AM91" s="8"/>
      <c r="AN91" s="7"/>
      <c r="AO91" s="7"/>
      <c r="AP91" s="9"/>
      <c r="AQ91" s="9"/>
      <c r="AR91" s="9"/>
      <c r="AS91" s="9"/>
      <c r="AT91" s="9"/>
      <c r="AU91" s="7"/>
      <c r="AV91" s="8"/>
    </row>
    <row r="92" spans="1:48" s="2" customFormat="1" ht="54" customHeight="1" x14ac:dyDescent="0.25">
      <c r="A92" s="19">
        <f t="shared" si="0"/>
        <v>72</v>
      </c>
      <c r="B92" s="156">
        <v>1</v>
      </c>
      <c r="C92" s="166"/>
      <c r="D92" s="183"/>
      <c r="E92" s="28" t="s">
        <v>453</v>
      </c>
      <c r="F92" s="28" t="s">
        <v>325</v>
      </c>
      <c r="G92" s="28" t="s">
        <v>282</v>
      </c>
      <c r="H92" s="19">
        <v>1961</v>
      </c>
      <c r="I92" s="19">
        <v>51.2</v>
      </c>
      <c r="J92" s="241" t="s">
        <v>11</v>
      </c>
      <c r="K92" s="242" t="s">
        <v>11</v>
      </c>
      <c r="L92" s="243">
        <v>2027</v>
      </c>
      <c r="M92" s="24"/>
      <c r="N92" s="24"/>
      <c r="O92" s="9"/>
      <c r="P92" s="230"/>
      <c r="Q92" s="229" t="s">
        <v>414</v>
      </c>
      <c r="R92" s="153"/>
      <c r="S92" s="9"/>
      <c r="T92" s="7"/>
      <c r="U92" s="7"/>
      <c r="V92" s="7"/>
      <c r="W92" s="7"/>
      <c r="X92" s="9"/>
      <c r="Y92" s="9"/>
      <c r="Z92" s="9"/>
      <c r="AA92" s="9"/>
      <c r="AB92" s="9"/>
      <c r="AC92" s="7"/>
      <c r="AD92" s="7"/>
      <c r="AE92" s="7"/>
      <c r="AF92" s="7"/>
      <c r="AG92" s="9"/>
      <c r="AH92" s="9"/>
      <c r="AI92" s="9"/>
      <c r="AJ92" s="9"/>
      <c r="AK92" s="9"/>
      <c r="AL92" s="7"/>
      <c r="AM92" s="8"/>
      <c r="AN92" s="7"/>
      <c r="AO92" s="7"/>
      <c r="AP92" s="9"/>
      <c r="AQ92" s="9"/>
      <c r="AR92" s="9"/>
      <c r="AS92" s="9"/>
      <c r="AT92" s="9"/>
      <c r="AU92" s="7"/>
      <c r="AV92" s="8"/>
    </row>
    <row r="93" spans="1:48" s="2" customFormat="1" ht="62.25" x14ac:dyDescent="0.25">
      <c r="A93" s="19">
        <f t="shared" si="0"/>
        <v>73</v>
      </c>
      <c r="B93" s="156">
        <v>1</v>
      </c>
      <c r="C93" s="164" t="s">
        <v>504</v>
      </c>
      <c r="D93" s="182" t="s">
        <v>429</v>
      </c>
      <c r="E93" s="28" t="s">
        <v>156</v>
      </c>
      <c r="F93" s="28" t="s">
        <v>157</v>
      </c>
      <c r="G93" s="28" t="s">
        <v>34</v>
      </c>
      <c r="H93" s="19">
        <v>1985</v>
      </c>
      <c r="I93" s="19">
        <v>400</v>
      </c>
      <c r="J93" s="241" t="s">
        <v>11</v>
      </c>
      <c r="K93" s="242" t="s">
        <v>11</v>
      </c>
      <c r="L93" s="243">
        <v>2030</v>
      </c>
      <c r="M93" s="24"/>
      <c r="N93" s="24"/>
      <c r="O93" s="9"/>
      <c r="P93" s="230"/>
      <c r="Q93" s="229" t="s">
        <v>414</v>
      </c>
      <c r="R93" s="153"/>
      <c r="S93" s="9"/>
      <c r="T93" s="7"/>
      <c r="U93" s="7"/>
      <c r="V93" s="7"/>
      <c r="W93" s="7"/>
      <c r="X93" s="9"/>
      <c r="Y93" s="9"/>
      <c r="Z93" s="9"/>
      <c r="AA93" s="9"/>
      <c r="AB93" s="9"/>
      <c r="AC93" s="7"/>
      <c r="AD93" s="7"/>
      <c r="AE93" s="7"/>
      <c r="AF93" s="7"/>
      <c r="AG93" s="9"/>
      <c r="AH93" s="9"/>
      <c r="AI93" s="9"/>
      <c r="AJ93" s="9"/>
      <c r="AK93" s="9"/>
      <c r="AL93" s="7"/>
      <c r="AM93" s="8"/>
      <c r="AN93" s="7"/>
      <c r="AO93" s="7"/>
      <c r="AP93" s="9"/>
      <c r="AQ93" s="9"/>
      <c r="AR93" s="9"/>
      <c r="AS93" s="9"/>
      <c r="AT93" s="9"/>
      <c r="AU93" s="7"/>
      <c r="AV93" s="8"/>
    </row>
    <row r="94" spans="1:48" s="2" customFormat="1" ht="63.75" customHeight="1" x14ac:dyDescent="0.25">
      <c r="A94" s="19">
        <f t="shared" si="0"/>
        <v>74</v>
      </c>
      <c r="B94" s="156">
        <v>1</v>
      </c>
      <c r="C94" s="166"/>
      <c r="D94" s="184"/>
      <c r="E94" s="28" t="s">
        <v>160</v>
      </c>
      <c r="F94" s="28" t="s">
        <v>158</v>
      </c>
      <c r="G94" s="28" t="s">
        <v>34</v>
      </c>
      <c r="H94" s="19">
        <v>1985</v>
      </c>
      <c r="I94" s="19">
        <v>400</v>
      </c>
      <c r="J94" s="241" t="s">
        <v>11</v>
      </c>
      <c r="K94" s="242" t="s">
        <v>11</v>
      </c>
      <c r="L94" s="243">
        <v>2030</v>
      </c>
      <c r="M94" s="24"/>
      <c r="N94" s="24"/>
      <c r="O94" s="9"/>
      <c r="P94" s="230"/>
      <c r="Q94" s="229" t="s">
        <v>414</v>
      </c>
      <c r="R94" s="153"/>
      <c r="S94" s="9"/>
      <c r="T94" s="7"/>
      <c r="U94" s="7"/>
      <c r="V94" s="7"/>
      <c r="W94" s="7"/>
      <c r="X94" s="9"/>
      <c r="Y94" s="9"/>
      <c r="Z94" s="9"/>
      <c r="AA94" s="9"/>
      <c r="AB94" s="9"/>
      <c r="AC94" s="7"/>
      <c r="AD94" s="7"/>
      <c r="AE94" s="7"/>
      <c r="AF94" s="7"/>
      <c r="AG94" s="9"/>
      <c r="AH94" s="9"/>
      <c r="AI94" s="9"/>
      <c r="AJ94" s="9"/>
      <c r="AK94" s="9"/>
      <c r="AL94" s="7"/>
      <c r="AM94" s="8"/>
      <c r="AN94" s="7"/>
      <c r="AO94" s="7"/>
      <c r="AP94" s="9"/>
      <c r="AQ94" s="9"/>
      <c r="AR94" s="9"/>
      <c r="AS94" s="9"/>
      <c r="AT94" s="9"/>
      <c r="AU94" s="7"/>
      <c r="AV94" s="8"/>
    </row>
    <row r="95" spans="1:48" s="2" customFormat="1" ht="62.25" customHeight="1" x14ac:dyDescent="0.25">
      <c r="A95" s="19">
        <f t="shared" si="0"/>
        <v>75</v>
      </c>
      <c r="B95" s="156">
        <v>1</v>
      </c>
      <c r="C95" s="166"/>
      <c r="D95" s="184"/>
      <c r="E95" s="28" t="s">
        <v>159</v>
      </c>
      <c r="F95" s="28" t="s">
        <v>158</v>
      </c>
      <c r="G95" s="28" t="s">
        <v>32</v>
      </c>
      <c r="H95" s="19">
        <v>1971</v>
      </c>
      <c r="I95" s="19">
        <v>70</v>
      </c>
      <c r="J95" s="241" t="s">
        <v>11</v>
      </c>
      <c r="K95" s="242" t="s">
        <v>11</v>
      </c>
      <c r="L95" s="243">
        <v>2026</v>
      </c>
      <c r="M95" s="24"/>
      <c r="N95" s="24"/>
      <c r="O95" s="9"/>
      <c r="P95" s="242" t="s">
        <v>11</v>
      </c>
      <c r="Q95" s="229" t="s">
        <v>414</v>
      </c>
      <c r="R95" s="153"/>
      <c r="S95" s="9"/>
      <c r="T95" s="7"/>
      <c r="U95" s="7"/>
      <c r="V95" s="7"/>
      <c r="W95" s="7"/>
      <c r="X95" s="9"/>
      <c r="Y95" s="9"/>
      <c r="Z95" s="9"/>
      <c r="AA95" s="9"/>
      <c r="AB95" s="9"/>
      <c r="AC95" s="7"/>
      <c r="AD95" s="7"/>
      <c r="AE95" s="7"/>
      <c r="AF95" s="7"/>
      <c r="AG95" s="9"/>
      <c r="AH95" s="9"/>
      <c r="AI95" s="9"/>
      <c r="AJ95" s="9"/>
      <c r="AK95" s="9"/>
      <c r="AL95" s="7"/>
      <c r="AM95" s="8"/>
      <c r="AN95" s="7"/>
      <c r="AO95" s="7"/>
      <c r="AP95" s="9"/>
      <c r="AQ95" s="9"/>
      <c r="AR95" s="9"/>
      <c r="AS95" s="9"/>
      <c r="AT95" s="9"/>
      <c r="AU95" s="7"/>
      <c r="AV95" s="8"/>
    </row>
    <row r="96" spans="1:48" s="2" customFormat="1" ht="57" customHeight="1" x14ac:dyDescent="0.25">
      <c r="A96" s="19">
        <f t="shared" si="0"/>
        <v>76</v>
      </c>
      <c r="B96" s="156">
        <v>1</v>
      </c>
      <c r="C96" s="166"/>
      <c r="D96" s="184"/>
      <c r="E96" s="28" t="s">
        <v>161</v>
      </c>
      <c r="F96" s="28" t="s">
        <v>162</v>
      </c>
      <c r="G96" s="28" t="s">
        <v>34</v>
      </c>
      <c r="H96" s="19">
        <v>1985</v>
      </c>
      <c r="I96" s="19">
        <v>320</v>
      </c>
      <c r="J96" s="241" t="s">
        <v>11</v>
      </c>
      <c r="K96" s="242" t="s">
        <v>11</v>
      </c>
      <c r="L96" s="243">
        <v>2027</v>
      </c>
      <c r="M96" s="24"/>
      <c r="N96" s="24"/>
      <c r="O96" s="9"/>
      <c r="P96" s="230"/>
      <c r="Q96" s="229" t="s">
        <v>414</v>
      </c>
      <c r="R96" s="153"/>
      <c r="S96" s="9"/>
      <c r="T96" s="7"/>
      <c r="U96" s="7"/>
      <c r="V96" s="7"/>
      <c r="W96" s="7"/>
      <c r="X96" s="9"/>
      <c r="Y96" s="9"/>
      <c r="Z96" s="9"/>
      <c r="AA96" s="9"/>
      <c r="AB96" s="9"/>
      <c r="AC96" s="7"/>
      <c r="AD96" s="7"/>
      <c r="AE96" s="7"/>
      <c r="AF96" s="7"/>
      <c r="AG96" s="9"/>
      <c r="AH96" s="9"/>
      <c r="AI96" s="9"/>
      <c r="AJ96" s="9"/>
      <c r="AK96" s="9"/>
      <c r="AL96" s="7"/>
      <c r="AM96" s="8"/>
      <c r="AN96" s="7"/>
      <c r="AO96" s="7"/>
      <c r="AP96" s="9"/>
      <c r="AQ96" s="9"/>
      <c r="AR96" s="9"/>
      <c r="AS96" s="9"/>
      <c r="AT96" s="9"/>
      <c r="AU96" s="7"/>
      <c r="AV96" s="8"/>
    </row>
    <row r="97" spans="1:48" s="2" customFormat="1" ht="57" customHeight="1" x14ac:dyDescent="0.25">
      <c r="A97" s="19">
        <f t="shared" si="0"/>
        <v>77</v>
      </c>
      <c r="B97" s="156">
        <v>1</v>
      </c>
      <c r="C97" s="166"/>
      <c r="D97" s="184"/>
      <c r="E97" s="28" t="s">
        <v>163</v>
      </c>
      <c r="F97" s="28" t="s">
        <v>158</v>
      </c>
      <c r="G97" s="28" t="s">
        <v>284</v>
      </c>
      <c r="H97" s="19">
        <v>1985</v>
      </c>
      <c r="I97" s="19">
        <v>150</v>
      </c>
      <c r="J97" s="241" t="s">
        <v>11</v>
      </c>
      <c r="K97" s="242" t="s">
        <v>11</v>
      </c>
      <c r="L97" s="243">
        <v>2026</v>
      </c>
      <c r="M97" s="24"/>
      <c r="N97" s="24"/>
      <c r="O97" s="9"/>
      <c r="P97" s="230"/>
      <c r="Q97" s="229" t="s">
        <v>414</v>
      </c>
      <c r="R97" s="153"/>
      <c r="S97" s="9"/>
      <c r="T97" s="7"/>
      <c r="U97" s="7"/>
      <c r="V97" s="7"/>
      <c r="W97" s="7"/>
      <c r="X97" s="9"/>
      <c r="Y97" s="9"/>
      <c r="Z97" s="9"/>
      <c r="AA97" s="9"/>
      <c r="AB97" s="9"/>
      <c r="AC97" s="7"/>
      <c r="AD97" s="7"/>
      <c r="AE97" s="7"/>
      <c r="AF97" s="7"/>
      <c r="AG97" s="9"/>
      <c r="AH97" s="9"/>
      <c r="AI97" s="9"/>
      <c r="AJ97" s="9"/>
      <c r="AK97" s="9"/>
      <c r="AL97" s="7"/>
      <c r="AM97" s="8"/>
      <c r="AN97" s="7"/>
      <c r="AO97" s="7"/>
      <c r="AP97" s="9"/>
      <c r="AQ97" s="9"/>
      <c r="AR97" s="9"/>
      <c r="AS97" s="9"/>
      <c r="AT97" s="9"/>
      <c r="AU97" s="7"/>
      <c r="AV97" s="8"/>
    </row>
    <row r="98" spans="1:48" s="2" customFormat="1" ht="57" customHeight="1" x14ac:dyDescent="0.25">
      <c r="A98" s="19">
        <f t="shared" si="0"/>
        <v>78</v>
      </c>
      <c r="B98" s="156">
        <v>1</v>
      </c>
      <c r="C98" s="166"/>
      <c r="D98" s="184"/>
      <c r="E98" s="28" t="s">
        <v>164</v>
      </c>
      <c r="F98" s="28" t="s">
        <v>165</v>
      </c>
      <c r="G98" s="28" t="s">
        <v>282</v>
      </c>
      <c r="H98" s="19">
        <v>1980</v>
      </c>
      <c r="I98" s="19">
        <v>50</v>
      </c>
      <c r="J98" s="241" t="s">
        <v>11</v>
      </c>
      <c r="K98" s="242" t="s">
        <v>11</v>
      </c>
      <c r="L98" s="243">
        <v>2027</v>
      </c>
      <c r="M98" s="24"/>
      <c r="N98" s="24"/>
      <c r="O98" s="9"/>
      <c r="P98" s="230"/>
      <c r="Q98" s="229" t="s">
        <v>414</v>
      </c>
      <c r="R98" s="153"/>
      <c r="S98" s="9"/>
      <c r="T98" s="7"/>
      <c r="U98" s="7"/>
      <c r="V98" s="7"/>
      <c r="W98" s="7"/>
      <c r="X98" s="9"/>
      <c r="Y98" s="9"/>
      <c r="Z98" s="9"/>
      <c r="AA98" s="9"/>
      <c r="AB98" s="9"/>
      <c r="AC98" s="7"/>
      <c r="AD98" s="7"/>
      <c r="AE98" s="7"/>
      <c r="AF98" s="7"/>
      <c r="AG98" s="9"/>
      <c r="AH98" s="9"/>
      <c r="AI98" s="9"/>
      <c r="AJ98" s="9"/>
      <c r="AK98" s="9"/>
      <c r="AL98" s="7"/>
      <c r="AM98" s="8"/>
      <c r="AN98" s="7"/>
      <c r="AO98" s="7"/>
      <c r="AP98" s="9"/>
      <c r="AQ98" s="9"/>
      <c r="AR98" s="9"/>
      <c r="AS98" s="9"/>
      <c r="AT98" s="9"/>
      <c r="AU98" s="7"/>
      <c r="AV98" s="8"/>
    </row>
    <row r="99" spans="1:48" s="2" customFormat="1" ht="57" customHeight="1" x14ac:dyDescent="0.25">
      <c r="A99" s="19">
        <f t="shared" si="0"/>
        <v>79</v>
      </c>
      <c r="B99" s="156">
        <v>1</v>
      </c>
      <c r="C99" s="166"/>
      <c r="D99" s="184"/>
      <c r="E99" s="28" t="s">
        <v>166</v>
      </c>
      <c r="F99" s="28" t="s">
        <v>162</v>
      </c>
      <c r="G99" s="28" t="s">
        <v>32</v>
      </c>
      <c r="H99" s="19">
        <v>1986</v>
      </c>
      <c r="I99" s="19">
        <v>800</v>
      </c>
      <c r="J99" s="241" t="s">
        <v>11</v>
      </c>
      <c r="K99" s="242" t="s">
        <v>11</v>
      </c>
      <c r="L99" s="243">
        <v>2027</v>
      </c>
      <c r="M99" s="24"/>
      <c r="N99" s="24"/>
      <c r="O99" s="9"/>
      <c r="P99" s="230"/>
      <c r="Q99" s="229" t="s">
        <v>414</v>
      </c>
      <c r="R99" s="153"/>
      <c r="S99" s="9"/>
      <c r="T99" s="7"/>
      <c r="U99" s="7"/>
      <c r="V99" s="7"/>
      <c r="W99" s="7"/>
      <c r="X99" s="9"/>
      <c r="Y99" s="9"/>
      <c r="Z99" s="9"/>
      <c r="AA99" s="9"/>
      <c r="AB99" s="9"/>
      <c r="AC99" s="7"/>
      <c r="AD99" s="7"/>
      <c r="AE99" s="7"/>
      <c r="AF99" s="7"/>
      <c r="AG99" s="9"/>
      <c r="AH99" s="9"/>
      <c r="AI99" s="9"/>
      <c r="AJ99" s="9"/>
      <c r="AK99" s="9"/>
      <c r="AL99" s="7"/>
      <c r="AM99" s="8"/>
      <c r="AN99" s="7"/>
      <c r="AO99" s="7"/>
      <c r="AP99" s="9"/>
      <c r="AQ99" s="9"/>
      <c r="AR99" s="9"/>
      <c r="AS99" s="9"/>
      <c r="AT99" s="9"/>
      <c r="AU99" s="7"/>
      <c r="AV99" s="8"/>
    </row>
    <row r="100" spans="1:48" s="2" customFormat="1" ht="48.75" customHeight="1" x14ac:dyDescent="0.25">
      <c r="A100" s="19">
        <f t="shared" si="0"/>
        <v>80</v>
      </c>
      <c r="B100" s="156">
        <v>1</v>
      </c>
      <c r="C100" s="166"/>
      <c r="D100" s="184"/>
      <c r="E100" s="28" t="s">
        <v>167</v>
      </c>
      <c r="F100" s="28" t="s">
        <v>168</v>
      </c>
      <c r="G100" s="28" t="s">
        <v>282</v>
      </c>
      <c r="H100" s="19">
        <v>1973</v>
      </c>
      <c r="I100" s="19">
        <v>1200</v>
      </c>
      <c r="J100" s="241" t="s">
        <v>11</v>
      </c>
      <c r="K100" s="242" t="s">
        <v>11</v>
      </c>
      <c r="L100" s="243">
        <v>2027</v>
      </c>
      <c r="M100" s="24"/>
      <c r="N100" s="24"/>
      <c r="O100" s="9"/>
      <c r="P100" s="230"/>
      <c r="Q100" s="229" t="s">
        <v>414</v>
      </c>
      <c r="R100" s="153"/>
      <c r="S100" s="9"/>
      <c r="T100" s="7"/>
      <c r="U100" s="7"/>
      <c r="V100" s="7"/>
      <c r="W100" s="7"/>
      <c r="X100" s="9"/>
      <c r="Y100" s="9"/>
      <c r="Z100" s="9"/>
      <c r="AA100" s="9"/>
      <c r="AB100" s="9"/>
      <c r="AC100" s="7"/>
      <c r="AD100" s="7"/>
      <c r="AE100" s="7"/>
      <c r="AF100" s="7"/>
      <c r="AG100" s="9"/>
      <c r="AH100" s="9"/>
      <c r="AI100" s="9"/>
      <c r="AJ100" s="9"/>
      <c r="AK100" s="9"/>
      <c r="AL100" s="7"/>
      <c r="AM100" s="8"/>
      <c r="AN100" s="7"/>
      <c r="AO100" s="7"/>
      <c r="AP100" s="9"/>
      <c r="AQ100" s="9"/>
      <c r="AR100" s="9"/>
      <c r="AS100" s="9"/>
      <c r="AT100" s="9"/>
      <c r="AU100" s="7"/>
      <c r="AV100" s="8"/>
    </row>
    <row r="101" spans="1:48" s="2" customFormat="1" ht="57" customHeight="1" x14ac:dyDescent="0.25">
      <c r="A101" s="19">
        <f t="shared" si="0"/>
        <v>81</v>
      </c>
      <c r="B101" s="156">
        <v>1</v>
      </c>
      <c r="C101" s="166"/>
      <c r="D101" s="184"/>
      <c r="E101" s="28" t="s">
        <v>68</v>
      </c>
      <c r="F101" s="28" t="s">
        <v>169</v>
      </c>
      <c r="G101" s="28" t="s">
        <v>282</v>
      </c>
      <c r="H101" s="19">
        <v>1982</v>
      </c>
      <c r="I101" s="19">
        <v>800</v>
      </c>
      <c r="J101" s="241" t="s">
        <v>11</v>
      </c>
      <c r="K101" s="242" t="s">
        <v>11</v>
      </c>
      <c r="L101" s="243">
        <v>2027</v>
      </c>
      <c r="M101" s="24"/>
      <c r="N101" s="24"/>
      <c r="O101" s="9"/>
      <c r="P101" s="230"/>
      <c r="Q101" s="229" t="s">
        <v>414</v>
      </c>
      <c r="R101" s="153"/>
      <c r="S101" s="9"/>
      <c r="T101" s="7"/>
      <c r="U101" s="7"/>
      <c r="V101" s="7"/>
      <c r="W101" s="7"/>
      <c r="X101" s="9"/>
      <c r="Y101" s="9"/>
      <c r="Z101" s="9"/>
      <c r="AA101" s="9"/>
      <c r="AB101" s="9"/>
      <c r="AC101" s="7"/>
      <c r="AD101" s="7"/>
      <c r="AE101" s="7"/>
      <c r="AF101" s="7"/>
      <c r="AG101" s="9"/>
      <c r="AH101" s="9"/>
      <c r="AI101" s="9"/>
      <c r="AJ101" s="9"/>
      <c r="AK101" s="9"/>
      <c r="AL101" s="7"/>
      <c r="AM101" s="8"/>
      <c r="AN101" s="7"/>
      <c r="AO101" s="7"/>
      <c r="AP101" s="9"/>
      <c r="AQ101" s="9"/>
      <c r="AR101" s="9"/>
      <c r="AS101" s="9"/>
      <c r="AT101" s="9"/>
      <c r="AU101" s="7"/>
      <c r="AV101" s="8"/>
    </row>
    <row r="102" spans="1:48" s="2" customFormat="1" ht="57" customHeight="1" x14ac:dyDescent="0.25">
      <c r="A102" s="19">
        <f t="shared" ref="A102:A123" si="1">A101+1</f>
        <v>82</v>
      </c>
      <c r="B102" s="156">
        <v>1</v>
      </c>
      <c r="C102" s="166"/>
      <c r="D102" s="184"/>
      <c r="E102" s="28" t="s">
        <v>1</v>
      </c>
      <c r="F102" s="28" t="s">
        <v>170</v>
      </c>
      <c r="G102" s="28" t="s">
        <v>282</v>
      </c>
      <c r="H102" s="19">
        <v>1985</v>
      </c>
      <c r="I102" s="19">
        <v>860</v>
      </c>
      <c r="J102" s="241" t="s">
        <v>11</v>
      </c>
      <c r="K102" s="242" t="s">
        <v>11</v>
      </c>
      <c r="L102" s="243">
        <v>2026</v>
      </c>
      <c r="M102" s="24"/>
      <c r="N102" s="24"/>
      <c r="O102" s="9"/>
      <c r="P102" s="230"/>
      <c r="Q102" s="229" t="s">
        <v>414</v>
      </c>
      <c r="R102" s="153"/>
      <c r="S102" s="9"/>
      <c r="T102" s="7"/>
      <c r="U102" s="7"/>
      <c r="V102" s="7"/>
      <c r="W102" s="7"/>
      <c r="X102" s="9"/>
      <c r="Y102" s="9"/>
      <c r="Z102" s="9"/>
      <c r="AA102" s="9"/>
      <c r="AB102" s="9"/>
      <c r="AC102" s="7"/>
      <c r="AD102" s="7"/>
      <c r="AE102" s="7"/>
      <c r="AF102" s="7"/>
      <c r="AG102" s="9"/>
      <c r="AH102" s="9"/>
      <c r="AI102" s="9"/>
      <c r="AJ102" s="9"/>
      <c r="AK102" s="9"/>
      <c r="AL102" s="7"/>
      <c r="AM102" s="8"/>
      <c r="AN102" s="7"/>
      <c r="AO102" s="7"/>
      <c r="AP102" s="9"/>
      <c r="AQ102" s="9"/>
      <c r="AR102" s="9"/>
      <c r="AS102" s="9"/>
      <c r="AT102" s="9"/>
      <c r="AU102" s="7"/>
      <c r="AV102" s="8"/>
    </row>
    <row r="103" spans="1:48" s="2" customFormat="1" ht="57" customHeight="1" x14ac:dyDescent="0.25">
      <c r="A103" s="19">
        <f t="shared" si="1"/>
        <v>83</v>
      </c>
      <c r="B103" s="156">
        <v>1</v>
      </c>
      <c r="C103" s="166"/>
      <c r="D103" s="183"/>
      <c r="E103" s="28" t="s">
        <v>1</v>
      </c>
      <c r="F103" s="28" t="s">
        <v>171</v>
      </c>
      <c r="G103" s="28" t="s">
        <v>282</v>
      </c>
      <c r="H103" s="19">
        <v>1979</v>
      </c>
      <c r="I103" s="19">
        <v>800</v>
      </c>
      <c r="J103" s="241" t="s">
        <v>11</v>
      </c>
      <c r="K103" s="242" t="s">
        <v>11</v>
      </c>
      <c r="L103" s="243">
        <v>2027</v>
      </c>
      <c r="M103" s="24"/>
      <c r="N103" s="24"/>
      <c r="O103" s="9"/>
      <c r="P103" s="230"/>
      <c r="Q103" s="229" t="s">
        <v>414</v>
      </c>
      <c r="R103" s="153"/>
      <c r="S103" s="9"/>
      <c r="T103" s="7"/>
      <c r="U103" s="7"/>
      <c r="V103" s="7"/>
      <c r="W103" s="7"/>
      <c r="X103" s="9"/>
      <c r="Y103" s="9"/>
      <c r="Z103" s="9"/>
      <c r="AA103" s="9"/>
      <c r="AB103" s="9"/>
      <c r="AC103" s="7"/>
      <c r="AD103" s="7"/>
      <c r="AE103" s="7"/>
      <c r="AF103" s="7"/>
      <c r="AG103" s="9"/>
      <c r="AH103" s="9"/>
      <c r="AI103" s="9"/>
      <c r="AJ103" s="9"/>
      <c r="AK103" s="9"/>
      <c r="AL103" s="7"/>
      <c r="AM103" s="8"/>
      <c r="AN103" s="7"/>
      <c r="AO103" s="7"/>
      <c r="AP103" s="9"/>
      <c r="AQ103" s="9"/>
      <c r="AR103" s="9"/>
      <c r="AS103" s="9"/>
      <c r="AT103" s="9"/>
      <c r="AU103" s="7"/>
      <c r="AV103" s="8"/>
    </row>
    <row r="104" spans="1:48" s="2" customFormat="1" ht="74.25" x14ac:dyDescent="0.25">
      <c r="A104" s="19">
        <f t="shared" si="1"/>
        <v>84</v>
      </c>
      <c r="B104" s="156">
        <v>1</v>
      </c>
      <c r="C104" s="164" t="s">
        <v>456</v>
      </c>
      <c r="D104" s="182" t="s">
        <v>430</v>
      </c>
      <c r="E104" s="28" t="s">
        <v>1</v>
      </c>
      <c r="F104" s="28" t="s">
        <v>172</v>
      </c>
      <c r="G104" s="28" t="s">
        <v>282</v>
      </c>
      <c r="H104" s="19">
        <v>1973</v>
      </c>
      <c r="I104" s="19">
        <v>1200</v>
      </c>
      <c r="J104" s="241" t="s">
        <v>11</v>
      </c>
      <c r="K104" s="242" t="s">
        <v>11</v>
      </c>
      <c r="L104" s="243">
        <v>2030</v>
      </c>
      <c r="M104" s="24"/>
      <c r="N104" s="24"/>
      <c r="O104" s="9"/>
      <c r="P104" s="230"/>
      <c r="Q104" s="229" t="s">
        <v>414</v>
      </c>
      <c r="R104" s="153"/>
      <c r="S104" s="9"/>
      <c r="T104" s="7"/>
      <c r="U104" s="7"/>
      <c r="V104" s="7"/>
      <c r="W104" s="7"/>
      <c r="X104" s="9"/>
      <c r="Y104" s="9"/>
      <c r="Z104" s="9"/>
      <c r="AA104" s="9"/>
      <c r="AB104" s="9"/>
      <c r="AC104" s="7"/>
      <c r="AD104" s="7"/>
      <c r="AE104" s="7"/>
      <c r="AF104" s="7"/>
      <c r="AG104" s="9"/>
      <c r="AH104" s="9"/>
      <c r="AI104" s="9"/>
      <c r="AJ104" s="9"/>
      <c r="AK104" s="9"/>
      <c r="AL104" s="7"/>
      <c r="AM104" s="8"/>
      <c r="AN104" s="7"/>
      <c r="AO104" s="7"/>
      <c r="AP104" s="9"/>
      <c r="AQ104" s="9"/>
      <c r="AR104" s="9"/>
      <c r="AS104" s="9"/>
      <c r="AT104" s="9"/>
      <c r="AU104" s="7"/>
      <c r="AV104" s="8"/>
    </row>
    <row r="105" spans="1:48" s="2" customFormat="1" ht="54" customHeight="1" x14ac:dyDescent="0.25">
      <c r="A105" s="19">
        <f t="shared" si="1"/>
        <v>85</v>
      </c>
      <c r="B105" s="156">
        <v>1</v>
      </c>
      <c r="C105" s="166"/>
      <c r="D105" s="184"/>
      <c r="E105" s="28" t="s">
        <v>28</v>
      </c>
      <c r="F105" s="28" t="s">
        <v>172</v>
      </c>
      <c r="G105" s="28" t="s">
        <v>282</v>
      </c>
      <c r="H105" s="19">
        <v>1973</v>
      </c>
      <c r="I105" s="19">
        <v>1200</v>
      </c>
      <c r="J105" s="241" t="s">
        <v>11</v>
      </c>
      <c r="K105" s="242" t="s">
        <v>11</v>
      </c>
      <c r="L105" s="243">
        <v>2030</v>
      </c>
      <c r="M105" s="24"/>
      <c r="N105" s="24"/>
      <c r="O105" s="9"/>
      <c r="P105" s="230"/>
      <c r="Q105" s="229" t="s">
        <v>414</v>
      </c>
      <c r="R105" s="153"/>
      <c r="S105" s="9"/>
      <c r="T105" s="7"/>
      <c r="U105" s="7"/>
      <c r="V105" s="7"/>
      <c r="W105" s="7"/>
      <c r="X105" s="9"/>
      <c r="Y105" s="9"/>
      <c r="Z105" s="9"/>
      <c r="AA105" s="9"/>
      <c r="AB105" s="9"/>
      <c r="AC105" s="7"/>
      <c r="AD105" s="7"/>
      <c r="AE105" s="7"/>
      <c r="AF105" s="7"/>
      <c r="AG105" s="9"/>
      <c r="AH105" s="9"/>
      <c r="AI105" s="9"/>
      <c r="AJ105" s="9"/>
      <c r="AK105" s="9"/>
      <c r="AL105" s="7"/>
      <c r="AM105" s="8"/>
      <c r="AN105" s="7"/>
      <c r="AO105" s="7"/>
      <c r="AP105" s="9"/>
      <c r="AQ105" s="9"/>
      <c r="AR105" s="9"/>
      <c r="AS105" s="9"/>
      <c r="AT105" s="9"/>
      <c r="AU105" s="7"/>
      <c r="AV105" s="8"/>
    </row>
    <row r="106" spans="1:48" s="2" customFormat="1" ht="54" customHeight="1" x14ac:dyDescent="0.25">
      <c r="A106" s="19">
        <f t="shared" si="1"/>
        <v>86</v>
      </c>
      <c r="B106" s="156">
        <v>1</v>
      </c>
      <c r="C106" s="166"/>
      <c r="D106" s="184"/>
      <c r="E106" s="28" t="s">
        <v>28</v>
      </c>
      <c r="F106" s="28" t="s">
        <v>172</v>
      </c>
      <c r="G106" s="28" t="s">
        <v>282</v>
      </c>
      <c r="H106" s="19">
        <v>1973</v>
      </c>
      <c r="I106" s="19">
        <v>1200</v>
      </c>
      <c r="J106" s="241" t="s">
        <v>11</v>
      </c>
      <c r="K106" s="242" t="s">
        <v>11</v>
      </c>
      <c r="L106" s="243">
        <v>2027</v>
      </c>
      <c r="M106" s="24"/>
      <c r="N106" s="24"/>
      <c r="O106" s="9"/>
      <c r="P106" s="230"/>
      <c r="Q106" s="229" t="s">
        <v>414</v>
      </c>
      <c r="R106" s="153"/>
      <c r="S106" s="9"/>
      <c r="T106" s="7"/>
      <c r="U106" s="7"/>
      <c r="V106" s="7"/>
      <c r="W106" s="7"/>
      <c r="X106" s="9"/>
      <c r="Y106" s="9"/>
      <c r="Z106" s="9"/>
      <c r="AA106" s="9"/>
      <c r="AB106" s="9"/>
      <c r="AC106" s="7"/>
      <c r="AD106" s="7"/>
      <c r="AE106" s="7"/>
      <c r="AF106" s="7"/>
      <c r="AG106" s="9"/>
      <c r="AH106" s="9"/>
      <c r="AI106" s="9"/>
      <c r="AJ106" s="9"/>
      <c r="AK106" s="9"/>
      <c r="AL106" s="7"/>
      <c r="AM106" s="8"/>
      <c r="AN106" s="7"/>
      <c r="AO106" s="7"/>
      <c r="AP106" s="9"/>
      <c r="AQ106" s="9"/>
      <c r="AR106" s="9"/>
      <c r="AS106" s="9"/>
      <c r="AT106" s="9"/>
      <c r="AU106" s="7"/>
      <c r="AV106" s="8"/>
    </row>
    <row r="107" spans="1:48" s="2" customFormat="1" ht="50.25" customHeight="1" x14ac:dyDescent="0.25">
      <c r="A107" s="19">
        <f t="shared" si="1"/>
        <v>87</v>
      </c>
      <c r="B107" s="156">
        <v>1</v>
      </c>
      <c r="C107" s="166"/>
      <c r="D107" s="184"/>
      <c r="E107" s="28" t="s">
        <v>183</v>
      </c>
      <c r="F107" s="28" t="s">
        <v>184</v>
      </c>
      <c r="G107" s="28" t="s">
        <v>34</v>
      </c>
      <c r="H107" s="19">
        <v>1973</v>
      </c>
      <c r="I107" s="19">
        <v>1200</v>
      </c>
      <c r="J107" s="241" t="s">
        <v>11</v>
      </c>
      <c r="K107" s="242" t="s">
        <v>11</v>
      </c>
      <c r="L107" s="243">
        <v>2028</v>
      </c>
      <c r="M107" s="24"/>
      <c r="N107" s="24"/>
      <c r="O107" s="9"/>
      <c r="P107" s="230"/>
      <c r="Q107" s="229" t="s">
        <v>414</v>
      </c>
      <c r="R107" s="153"/>
      <c r="S107" s="9"/>
      <c r="T107" s="7"/>
      <c r="U107" s="7"/>
      <c r="V107" s="7"/>
      <c r="W107" s="7"/>
      <c r="X107" s="9"/>
      <c r="Y107" s="9"/>
      <c r="Z107" s="9"/>
      <c r="AA107" s="9"/>
      <c r="AB107" s="9"/>
      <c r="AC107" s="7"/>
      <c r="AD107" s="7"/>
      <c r="AE107" s="7"/>
      <c r="AF107" s="7"/>
      <c r="AG107" s="9"/>
      <c r="AH107" s="9"/>
      <c r="AI107" s="9"/>
      <c r="AJ107" s="9"/>
      <c r="AK107" s="9"/>
      <c r="AL107" s="7"/>
      <c r="AM107" s="8"/>
      <c r="AN107" s="7"/>
      <c r="AO107" s="7"/>
      <c r="AP107" s="9"/>
      <c r="AQ107" s="9"/>
      <c r="AR107" s="9"/>
      <c r="AS107" s="9"/>
      <c r="AT107" s="9"/>
      <c r="AU107" s="7"/>
      <c r="AV107" s="8"/>
    </row>
    <row r="108" spans="1:48" s="2" customFormat="1" ht="50.25" customHeight="1" x14ac:dyDescent="0.25">
      <c r="A108" s="19">
        <f t="shared" si="1"/>
        <v>88</v>
      </c>
      <c r="B108" s="156">
        <v>1</v>
      </c>
      <c r="C108" s="166"/>
      <c r="D108" s="184"/>
      <c r="E108" s="28" t="s">
        <v>185</v>
      </c>
      <c r="F108" s="28" t="s">
        <v>172</v>
      </c>
      <c r="G108" s="28" t="s">
        <v>282</v>
      </c>
      <c r="H108" s="19">
        <v>1973</v>
      </c>
      <c r="I108" s="19">
        <v>200</v>
      </c>
      <c r="J108" s="241" t="s">
        <v>11</v>
      </c>
      <c r="K108" s="242" t="s">
        <v>11</v>
      </c>
      <c r="L108" s="243">
        <v>2028</v>
      </c>
      <c r="M108" s="24"/>
      <c r="N108" s="24"/>
      <c r="O108" s="9"/>
      <c r="P108" s="230"/>
      <c r="Q108" s="229" t="s">
        <v>414</v>
      </c>
      <c r="R108" s="153"/>
      <c r="S108" s="9"/>
      <c r="T108" s="7"/>
      <c r="U108" s="7"/>
      <c r="V108" s="7"/>
      <c r="W108" s="7"/>
      <c r="X108" s="9"/>
      <c r="Y108" s="9"/>
      <c r="Z108" s="9"/>
      <c r="AA108" s="9"/>
      <c r="AB108" s="9"/>
      <c r="AC108" s="7"/>
      <c r="AD108" s="7"/>
      <c r="AE108" s="7"/>
      <c r="AF108" s="7"/>
      <c r="AG108" s="9"/>
      <c r="AH108" s="9"/>
      <c r="AI108" s="9"/>
      <c r="AJ108" s="9"/>
      <c r="AK108" s="9"/>
      <c r="AL108" s="7"/>
      <c r="AM108" s="8"/>
      <c r="AN108" s="7"/>
      <c r="AO108" s="7"/>
      <c r="AP108" s="9"/>
      <c r="AQ108" s="9"/>
      <c r="AR108" s="9"/>
      <c r="AS108" s="9"/>
      <c r="AT108" s="9"/>
      <c r="AU108" s="7"/>
      <c r="AV108" s="8"/>
    </row>
    <row r="109" spans="1:48" s="4" customFormat="1" ht="47.25" customHeight="1" x14ac:dyDescent="0.2">
      <c r="A109" s="19">
        <f t="shared" si="1"/>
        <v>89</v>
      </c>
      <c r="B109" s="156">
        <v>1</v>
      </c>
      <c r="C109" s="166"/>
      <c r="D109" s="184"/>
      <c r="E109" s="28" t="s">
        <v>173</v>
      </c>
      <c r="F109" s="28" t="s">
        <v>172</v>
      </c>
      <c r="G109" s="28" t="s">
        <v>282</v>
      </c>
      <c r="H109" s="19">
        <v>1973</v>
      </c>
      <c r="I109" s="19">
        <v>1200</v>
      </c>
      <c r="J109" s="241" t="s">
        <v>11</v>
      </c>
      <c r="K109" s="242" t="s">
        <v>11</v>
      </c>
      <c r="L109" s="243">
        <v>2028</v>
      </c>
      <c r="M109" s="24"/>
      <c r="N109" s="24"/>
      <c r="O109" s="9"/>
      <c r="P109" s="230"/>
      <c r="Q109" s="229" t="s">
        <v>414</v>
      </c>
      <c r="R109" s="153"/>
      <c r="S109" s="9"/>
      <c r="T109" s="7"/>
      <c r="U109" s="7"/>
      <c r="V109" s="7"/>
      <c r="W109" s="7"/>
      <c r="X109" s="9"/>
      <c r="Y109" s="9"/>
      <c r="Z109" s="9"/>
      <c r="AA109" s="9"/>
      <c r="AB109" s="9"/>
      <c r="AC109" s="7"/>
      <c r="AD109" s="7"/>
      <c r="AE109" s="7"/>
      <c r="AF109" s="7"/>
      <c r="AG109" s="9"/>
      <c r="AH109" s="9"/>
      <c r="AI109" s="9"/>
      <c r="AJ109" s="9"/>
      <c r="AK109" s="9"/>
      <c r="AL109" s="7"/>
      <c r="AM109" s="8"/>
      <c r="AN109" s="7"/>
      <c r="AO109" s="7"/>
      <c r="AP109" s="9"/>
      <c r="AQ109" s="9"/>
      <c r="AR109" s="9"/>
      <c r="AS109" s="9"/>
      <c r="AT109" s="9"/>
      <c r="AU109" s="7"/>
      <c r="AV109" s="8"/>
    </row>
    <row r="110" spans="1:48" s="4" customFormat="1" ht="55.5" customHeight="1" x14ac:dyDescent="0.2">
      <c r="A110" s="19">
        <f t="shared" si="1"/>
        <v>90</v>
      </c>
      <c r="B110" s="156">
        <v>1</v>
      </c>
      <c r="C110" s="166"/>
      <c r="D110" s="184"/>
      <c r="E110" s="28" t="s">
        <v>174</v>
      </c>
      <c r="F110" s="28" t="s">
        <v>175</v>
      </c>
      <c r="G110" s="28" t="s">
        <v>30</v>
      </c>
      <c r="H110" s="19">
        <v>1969</v>
      </c>
      <c r="I110" s="19">
        <v>220</v>
      </c>
      <c r="J110" s="241" t="s">
        <v>11</v>
      </c>
      <c r="K110" s="242" t="s">
        <v>11</v>
      </c>
      <c r="L110" s="243">
        <v>2027</v>
      </c>
      <c r="M110" s="24"/>
      <c r="N110" s="24"/>
      <c r="O110" s="9"/>
      <c r="P110" s="230"/>
      <c r="Q110" s="229" t="s">
        <v>414</v>
      </c>
      <c r="R110" s="153"/>
      <c r="S110" s="9"/>
      <c r="T110" s="7"/>
      <c r="U110" s="7"/>
      <c r="V110" s="7"/>
      <c r="W110" s="7"/>
      <c r="X110" s="9"/>
      <c r="Y110" s="9"/>
      <c r="Z110" s="9"/>
      <c r="AA110" s="9"/>
      <c r="AB110" s="9"/>
      <c r="AC110" s="7"/>
      <c r="AD110" s="7"/>
      <c r="AE110" s="7"/>
      <c r="AF110" s="7"/>
      <c r="AG110" s="9"/>
      <c r="AH110" s="9"/>
      <c r="AI110" s="9"/>
      <c r="AJ110" s="9"/>
      <c r="AK110" s="9"/>
      <c r="AL110" s="7"/>
      <c r="AM110" s="8"/>
      <c r="AN110" s="7"/>
      <c r="AO110" s="7"/>
      <c r="AP110" s="9"/>
      <c r="AQ110" s="9"/>
      <c r="AR110" s="9"/>
      <c r="AS110" s="9"/>
      <c r="AT110" s="9"/>
      <c r="AU110" s="7"/>
      <c r="AV110" s="8"/>
    </row>
    <row r="111" spans="1:48" s="4" customFormat="1" ht="51.75" customHeight="1" x14ac:dyDescent="0.2">
      <c r="A111" s="19">
        <f t="shared" si="1"/>
        <v>91</v>
      </c>
      <c r="B111" s="156">
        <v>1</v>
      </c>
      <c r="C111" s="166"/>
      <c r="D111" s="184"/>
      <c r="E111" s="28" t="s">
        <v>176</v>
      </c>
      <c r="F111" s="28" t="s">
        <v>177</v>
      </c>
      <c r="G111" s="28" t="s">
        <v>30</v>
      </c>
      <c r="H111" s="19">
        <v>1950</v>
      </c>
      <c r="I111" s="19">
        <v>104</v>
      </c>
      <c r="J111" s="241" t="s">
        <v>11</v>
      </c>
      <c r="K111" s="242" t="s">
        <v>11</v>
      </c>
      <c r="L111" s="243">
        <v>2027</v>
      </c>
      <c r="M111" s="24"/>
      <c r="N111" s="24"/>
      <c r="O111" s="9"/>
      <c r="P111" s="230"/>
      <c r="Q111" s="229" t="s">
        <v>414</v>
      </c>
      <c r="R111" s="153"/>
      <c r="S111" s="9"/>
      <c r="T111" s="7"/>
      <c r="U111" s="7"/>
      <c r="V111" s="7"/>
      <c r="W111" s="7"/>
      <c r="X111" s="9"/>
      <c r="Y111" s="9"/>
      <c r="Z111" s="9"/>
      <c r="AA111" s="9"/>
      <c r="AB111" s="9"/>
      <c r="AC111" s="7"/>
      <c r="AD111" s="7"/>
      <c r="AE111" s="7"/>
      <c r="AF111" s="7"/>
      <c r="AG111" s="9"/>
      <c r="AH111" s="9"/>
      <c r="AI111" s="9"/>
      <c r="AJ111" s="9"/>
      <c r="AK111" s="9"/>
      <c r="AL111" s="7"/>
      <c r="AM111" s="8"/>
      <c r="AN111" s="7"/>
      <c r="AO111" s="7"/>
      <c r="AP111" s="9"/>
      <c r="AQ111" s="9"/>
      <c r="AR111" s="9"/>
      <c r="AS111" s="9"/>
      <c r="AT111" s="9"/>
      <c r="AU111" s="7"/>
      <c r="AV111" s="8"/>
    </row>
    <row r="112" spans="1:48" s="2" customFormat="1" ht="60" customHeight="1" x14ac:dyDescent="0.25">
      <c r="A112" s="19">
        <f t="shared" si="1"/>
        <v>92</v>
      </c>
      <c r="B112" s="156">
        <v>1</v>
      </c>
      <c r="C112" s="166"/>
      <c r="D112" s="184"/>
      <c r="E112" s="28" t="s">
        <v>55</v>
      </c>
      <c r="F112" s="28" t="s">
        <v>175</v>
      </c>
      <c r="G112" s="28" t="s">
        <v>282</v>
      </c>
      <c r="H112" s="19">
        <v>1985</v>
      </c>
      <c r="I112" s="19">
        <v>1100</v>
      </c>
      <c r="J112" s="241" t="s">
        <v>11</v>
      </c>
      <c r="K112" s="242" t="s">
        <v>11</v>
      </c>
      <c r="L112" s="243">
        <v>2027</v>
      </c>
      <c r="M112" s="24"/>
      <c r="N112" s="24"/>
      <c r="O112" s="9"/>
      <c r="P112" s="230"/>
      <c r="Q112" s="229" t="s">
        <v>414</v>
      </c>
      <c r="R112" s="153"/>
      <c r="S112" s="9"/>
      <c r="T112" s="7"/>
      <c r="U112" s="7"/>
      <c r="V112" s="7"/>
      <c r="W112" s="7"/>
      <c r="X112" s="9"/>
      <c r="Y112" s="9"/>
      <c r="Z112" s="9"/>
      <c r="AA112" s="9"/>
      <c r="AB112" s="9"/>
      <c r="AC112" s="7"/>
      <c r="AD112" s="7"/>
      <c r="AE112" s="7"/>
      <c r="AF112" s="7"/>
      <c r="AG112" s="9"/>
      <c r="AH112" s="9"/>
      <c r="AI112" s="9"/>
      <c r="AJ112" s="9"/>
      <c r="AK112" s="9"/>
      <c r="AL112" s="7"/>
      <c r="AM112" s="8"/>
      <c r="AN112" s="7"/>
      <c r="AO112" s="7"/>
      <c r="AP112" s="9"/>
      <c r="AQ112" s="9"/>
      <c r="AR112" s="9"/>
      <c r="AS112" s="9"/>
      <c r="AT112" s="9"/>
      <c r="AU112" s="7"/>
      <c r="AV112" s="8"/>
    </row>
    <row r="113" spans="1:48" s="2" customFormat="1" ht="65.25" customHeight="1" x14ac:dyDescent="0.25">
      <c r="A113" s="19">
        <f t="shared" si="1"/>
        <v>93</v>
      </c>
      <c r="B113" s="156">
        <v>1</v>
      </c>
      <c r="C113" s="166"/>
      <c r="D113" s="184"/>
      <c r="E113" s="28" t="s">
        <v>178</v>
      </c>
      <c r="F113" s="28" t="s">
        <v>179</v>
      </c>
      <c r="G113" s="28" t="s">
        <v>282</v>
      </c>
      <c r="H113" s="19">
        <v>1985</v>
      </c>
      <c r="I113" s="19">
        <v>772</v>
      </c>
      <c r="J113" s="241" t="s">
        <v>11</v>
      </c>
      <c r="K113" s="242" t="s">
        <v>11</v>
      </c>
      <c r="L113" s="243">
        <v>2027</v>
      </c>
      <c r="M113" s="24"/>
      <c r="N113" s="24"/>
      <c r="O113" s="9"/>
      <c r="P113" s="230"/>
      <c r="Q113" s="229" t="s">
        <v>414</v>
      </c>
      <c r="R113" s="153"/>
      <c r="S113" s="9"/>
      <c r="T113" s="7"/>
      <c r="U113" s="7"/>
      <c r="V113" s="7"/>
      <c r="W113" s="7"/>
      <c r="X113" s="9"/>
      <c r="Y113" s="9"/>
      <c r="Z113" s="9"/>
      <c r="AA113" s="9"/>
      <c r="AB113" s="9"/>
      <c r="AC113" s="7"/>
      <c r="AD113" s="7"/>
      <c r="AE113" s="7"/>
      <c r="AF113" s="7"/>
      <c r="AG113" s="9"/>
      <c r="AH113" s="9"/>
      <c r="AI113" s="9"/>
      <c r="AJ113" s="9"/>
      <c r="AK113" s="9"/>
      <c r="AL113" s="7"/>
      <c r="AM113" s="8"/>
      <c r="AN113" s="7"/>
      <c r="AO113" s="7"/>
      <c r="AP113" s="9"/>
      <c r="AQ113" s="9"/>
      <c r="AR113" s="9"/>
      <c r="AS113" s="9"/>
      <c r="AT113" s="9"/>
      <c r="AU113" s="7"/>
      <c r="AV113" s="8"/>
    </row>
    <row r="114" spans="1:48" s="2" customFormat="1" ht="61.5" customHeight="1" x14ac:dyDescent="0.25">
      <c r="A114" s="19">
        <f t="shared" si="1"/>
        <v>94</v>
      </c>
      <c r="B114" s="156">
        <v>1</v>
      </c>
      <c r="C114" s="166"/>
      <c r="D114" s="184"/>
      <c r="E114" s="28" t="s">
        <v>70</v>
      </c>
      <c r="F114" s="28" t="s">
        <v>180</v>
      </c>
      <c r="G114" s="28" t="s">
        <v>75</v>
      </c>
      <c r="H114" s="19">
        <v>2001</v>
      </c>
      <c r="I114" s="19">
        <v>230</v>
      </c>
      <c r="J114" s="241" t="s">
        <v>11</v>
      </c>
      <c r="K114" s="242" t="s">
        <v>11</v>
      </c>
      <c r="L114" s="243">
        <v>2027</v>
      </c>
      <c r="M114" s="24"/>
      <c r="N114" s="24"/>
      <c r="O114" s="9"/>
      <c r="P114" s="230"/>
      <c r="Q114" s="229" t="s">
        <v>414</v>
      </c>
      <c r="R114" s="153"/>
      <c r="S114" s="9"/>
      <c r="T114" s="7"/>
      <c r="U114" s="7"/>
      <c r="V114" s="7"/>
      <c r="W114" s="7"/>
      <c r="X114" s="9"/>
      <c r="Y114" s="9"/>
      <c r="Z114" s="9"/>
      <c r="AA114" s="9"/>
      <c r="AB114" s="9"/>
      <c r="AC114" s="7"/>
      <c r="AD114" s="7"/>
      <c r="AE114" s="7"/>
      <c r="AF114" s="7"/>
      <c r="AG114" s="9"/>
      <c r="AH114" s="9"/>
      <c r="AI114" s="9"/>
      <c r="AJ114" s="9"/>
      <c r="AK114" s="9"/>
      <c r="AL114" s="7"/>
      <c r="AM114" s="8"/>
      <c r="AN114" s="7"/>
      <c r="AO114" s="7"/>
      <c r="AP114" s="9"/>
      <c r="AQ114" s="9"/>
      <c r="AR114" s="9"/>
      <c r="AS114" s="9"/>
      <c r="AT114" s="9"/>
      <c r="AU114" s="7"/>
      <c r="AV114" s="8"/>
    </row>
    <row r="115" spans="1:48" s="2" customFormat="1" ht="61.5" customHeight="1" x14ac:dyDescent="0.25">
      <c r="A115" s="19">
        <f t="shared" si="1"/>
        <v>95</v>
      </c>
      <c r="B115" s="156">
        <v>1</v>
      </c>
      <c r="C115" s="166"/>
      <c r="D115" s="184"/>
      <c r="E115" s="28" t="s">
        <v>1</v>
      </c>
      <c r="F115" s="28" t="s">
        <v>175</v>
      </c>
      <c r="G115" s="28" t="s">
        <v>282</v>
      </c>
      <c r="H115" s="19">
        <v>1986</v>
      </c>
      <c r="I115" s="19">
        <v>600</v>
      </c>
      <c r="J115" s="241" t="s">
        <v>11</v>
      </c>
      <c r="K115" s="242" t="s">
        <v>11</v>
      </c>
      <c r="L115" s="243">
        <v>2029</v>
      </c>
      <c r="M115" s="24"/>
      <c r="N115" s="24"/>
      <c r="O115" s="9"/>
      <c r="P115" s="230"/>
      <c r="Q115" s="229" t="s">
        <v>414</v>
      </c>
      <c r="R115" s="153"/>
      <c r="S115" s="9"/>
      <c r="T115" s="7"/>
      <c r="U115" s="7"/>
      <c r="V115" s="7"/>
      <c r="W115" s="7"/>
      <c r="X115" s="9"/>
      <c r="Y115" s="9"/>
      <c r="Z115" s="9"/>
      <c r="AA115" s="9"/>
      <c r="AB115" s="9"/>
      <c r="AC115" s="7"/>
      <c r="AD115" s="7"/>
      <c r="AE115" s="7"/>
      <c r="AF115" s="7"/>
      <c r="AG115" s="9"/>
      <c r="AH115" s="9"/>
      <c r="AI115" s="9"/>
      <c r="AJ115" s="9"/>
      <c r="AK115" s="9"/>
      <c r="AL115" s="7"/>
      <c r="AM115" s="8"/>
      <c r="AN115" s="7"/>
      <c r="AO115" s="7"/>
      <c r="AP115" s="9"/>
      <c r="AQ115" s="9"/>
      <c r="AR115" s="9"/>
      <c r="AS115" s="9"/>
      <c r="AT115" s="9"/>
      <c r="AU115" s="7"/>
      <c r="AV115" s="8"/>
    </row>
    <row r="116" spans="1:48" s="2" customFormat="1" ht="61.5" customHeight="1" x14ac:dyDescent="0.25">
      <c r="A116" s="19">
        <f t="shared" si="1"/>
        <v>96</v>
      </c>
      <c r="B116" s="156">
        <v>1</v>
      </c>
      <c r="C116" s="166"/>
      <c r="D116" s="184"/>
      <c r="E116" s="28" t="s">
        <v>52</v>
      </c>
      <c r="F116" s="28" t="s">
        <v>69</v>
      </c>
      <c r="G116" s="28" t="s">
        <v>286</v>
      </c>
      <c r="H116" s="19">
        <v>1986</v>
      </c>
      <c r="I116" s="19">
        <v>650</v>
      </c>
      <c r="J116" s="241" t="s">
        <v>11</v>
      </c>
      <c r="K116" s="242" t="s">
        <v>11</v>
      </c>
      <c r="L116" s="243">
        <v>2027</v>
      </c>
      <c r="M116" s="24"/>
      <c r="N116" s="24"/>
      <c r="O116" s="9"/>
      <c r="P116" s="230"/>
      <c r="Q116" s="229" t="s">
        <v>414</v>
      </c>
      <c r="R116" s="153"/>
      <c r="S116" s="9"/>
      <c r="T116" s="7"/>
      <c r="U116" s="7"/>
      <c r="V116" s="7"/>
      <c r="W116" s="7"/>
      <c r="X116" s="9"/>
      <c r="Y116" s="9"/>
      <c r="Z116" s="9"/>
      <c r="AA116" s="9"/>
      <c r="AB116" s="9"/>
      <c r="AC116" s="7"/>
      <c r="AD116" s="7"/>
      <c r="AE116" s="7"/>
      <c r="AF116" s="7"/>
      <c r="AG116" s="9"/>
      <c r="AH116" s="9"/>
      <c r="AI116" s="9"/>
      <c r="AJ116" s="9"/>
      <c r="AK116" s="9"/>
      <c r="AL116" s="7"/>
      <c r="AM116" s="8"/>
      <c r="AN116" s="7"/>
      <c r="AO116" s="7"/>
      <c r="AP116" s="9"/>
      <c r="AQ116" s="9"/>
      <c r="AR116" s="9"/>
      <c r="AS116" s="9"/>
      <c r="AT116" s="9"/>
      <c r="AU116" s="7"/>
      <c r="AV116" s="8"/>
    </row>
    <row r="117" spans="1:48" s="2" customFormat="1" ht="61.5" customHeight="1" x14ac:dyDescent="0.25">
      <c r="A117" s="19">
        <f t="shared" si="1"/>
        <v>97</v>
      </c>
      <c r="B117" s="156">
        <v>1</v>
      </c>
      <c r="C117" s="166"/>
      <c r="D117" s="184"/>
      <c r="E117" s="28" t="s">
        <v>53</v>
      </c>
      <c r="F117" s="28" t="s">
        <v>179</v>
      </c>
      <c r="G117" s="28" t="s">
        <v>286</v>
      </c>
      <c r="H117" s="19">
        <v>1975</v>
      </c>
      <c r="I117" s="19">
        <v>65</v>
      </c>
      <c r="J117" s="241" t="s">
        <v>11</v>
      </c>
      <c r="K117" s="242" t="s">
        <v>11</v>
      </c>
      <c r="L117" s="243">
        <v>2029</v>
      </c>
      <c r="M117" s="24"/>
      <c r="N117" s="24"/>
      <c r="O117" s="9"/>
      <c r="P117" s="230"/>
      <c r="Q117" s="229" t="s">
        <v>414</v>
      </c>
      <c r="R117" s="153"/>
      <c r="S117" s="9"/>
      <c r="T117" s="7"/>
      <c r="U117" s="7"/>
      <c r="V117" s="7"/>
      <c r="W117" s="7"/>
      <c r="X117" s="9"/>
      <c r="Y117" s="9"/>
      <c r="Z117" s="9"/>
      <c r="AA117" s="9"/>
      <c r="AB117" s="9"/>
      <c r="AC117" s="7"/>
      <c r="AD117" s="7"/>
      <c r="AE117" s="7"/>
      <c r="AF117" s="7"/>
      <c r="AG117" s="9"/>
      <c r="AH117" s="9"/>
      <c r="AI117" s="9"/>
      <c r="AJ117" s="9"/>
      <c r="AK117" s="9"/>
      <c r="AL117" s="7"/>
      <c r="AM117" s="8"/>
      <c r="AN117" s="7"/>
      <c r="AO117" s="7"/>
      <c r="AP117" s="9"/>
      <c r="AQ117" s="9"/>
      <c r="AR117" s="9"/>
      <c r="AS117" s="9"/>
      <c r="AT117" s="9"/>
      <c r="AU117" s="7"/>
      <c r="AV117" s="8"/>
    </row>
    <row r="118" spans="1:48" s="2" customFormat="1" ht="58.5" customHeight="1" x14ac:dyDescent="0.25">
      <c r="A118" s="19">
        <f t="shared" si="1"/>
        <v>98</v>
      </c>
      <c r="B118" s="156">
        <v>1</v>
      </c>
      <c r="C118" s="166"/>
      <c r="D118" s="184"/>
      <c r="E118" s="28" t="s">
        <v>79</v>
      </c>
      <c r="F118" s="28" t="s">
        <v>172</v>
      </c>
      <c r="G118" s="28" t="s">
        <v>282</v>
      </c>
      <c r="H118" s="19">
        <v>1981</v>
      </c>
      <c r="I118" s="19">
        <v>1200</v>
      </c>
      <c r="J118" s="241" t="s">
        <v>11</v>
      </c>
      <c r="K118" s="242" t="s">
        <v>11</v>
      </c>
      <c r="L118" s="243">
        <v>2027</v>
      </c>
      <c r="M118" s="24"/>
      <c r="N118" s="24"/>
      <c r="O118" s="9"/>
      <c r="P118" s="230"/>
      <c r="Q118" s="229" t="s">
        <v>414</v>
      </c>
      <c r="R118" s="153"/>
      <c r="S118" s="9"/>
      <c r="T118" s="7"/>
      <c r="U118" s="7"/>
      <c r="V118" s="7"/>
      <c r="W118" s="7"/>
      <c r="X118" s="9"/>
      <c r="Y118" s="9"/>
      <c r="Z118" s="9"/>
      <c r="AA118" s="9"/>
      <c r="AB118" s="9"/>
      <c r="AC118" s="7"/>
      <c r="AD118" s="7"/>
      <c r="AE118" s="7"/>
      <c r="AF118" s="7"/>
      <c r="AG118" s="9"/>
      <c r="AH118" s="9"/>
      <c r="AI118" s="9"/>
      <c r="AJ118" s="9"/>
      <c r="AK118" s="9"/>
      <c r="AL118" s="7"/>
      <c r="AM118" s="8"/>
      <c r="AN118" s="7"/>
      <c r="AO118" s="7"/>
      <c r="AP118" s="9"/>
      <c r="AQ118" s="9"/>
      <c r="AR118" s="9"/>
      <c r="AS118" s="9"/>
      <c r="AT118" s="9"/>
      <c r="AU118" s="7"/>
      <c r="AV118" s="8"/>
    </row>
    <row r="119" spans="1:48" s="2" customFormat="1" ht="61.5" customHeight="1" x14ac:dyDescent="0.25">
      <c r="A119" s="19">
        <f t="shared" si="1"/>
        <v>99</v>
      </c>
      <c r="B119" s="156">
        <v>1</v>
      </c>
      <c r="C119" s="166"/>
      <c r="D119" s="184"/>
      <c r="E119" s="28" t="s">
        <v>71</v>
      </c>
      <c r="F119" s="28" t="s">
        <v>172</v>
      </c>
      <c r="G119" s="28" t="s">
        <v>282</v>
      </c>
      <c r="H119" s="19">
        <v>1986</v>
      </c>
      <c r="I119" s="19">
        <v>900</v>
      </c>
      <c r="J119" s="241" t="s">
        <v>11</v>
      </c>
      <c r="K119" s="242" t="s">
        <v>11</v>
      </c>
      <c r="L119" s="243">
        <v>2029</v>
      </c>
      <c r="M119" s="24"/>
      <c r="N119" s="24"/>
      <c r="O119" s="9"/>
      <c r="P119" s="230"/>
      <c r="Q119" s="229" t="s">
        <v>414</v>
      </c>
      <c r="R119" s="153"/>
      <c r="S119" s="9"/>
      <c r="T119" s="7"/>
      <c r="U119" s="7"/>
      <c r="V119" s="7"/>
      <c r="W119" s="7"/>
      <c r="X119" s="9"/>
      <c r="Y119" s="9"/>
      <c r="Z119" s="9"/>
      <c r="AA119" s="9"/>
      <c r="AB119" s="9"/>
      <c r="AC119" s="7"/>
      <c r="AD119" s="7"/>
      <c r="AE119" s="7"/>
      <c r="AF119" s="7"/>
      <c r="AG119" s="9"/>
      <c r="AH119" s="9"/>
      <c r="AI119" s="9"/>
      <c r="AJ119" s="9"/>
      <c r="AK119" s="9"/>
      <c r="AL119" s="7"/>
      <c r="AM119" s="8"/>
      <c r="AN119" s="7"/>
      <c r="AO119" s="7"/>
      <c r="AP119" s="9"/>
      <c r="AQ119" s="9"/>
      <c r="AR119" s="9"/>
      <c r="AS119" s="9"/>
      <c r="AT119" s="9"/>
      <c r="AU119" s="7"/>
      <c r="AV119" s="8"/>
    </row>
    <row r="120" spans="1:48" s="2" customFormat="1" ht="61.5" customHeight="1" x14ac:dyDescent="0.25">
      <c r="A120" s="19">
        <f t="shared" si="1"/>
        <v>100</v>
      </c>
      <c r="B120" s="156">
        <v>1</v>
      </c>
      <c r="C120" s="166"/>
      <c r="D120" s="184"/>
      <c r="E120" s="28" t="s">
        <v>50</v>
      </c>
      <c r="F120" s="28" t="s">
        <v>172</v>
      </c>
      <c r="G120" s="28" t="s">
        <v>282</v>
      </c>
      <c r="H120" s="19">
        <v>1975</v>
      </c>
      <c r="I120" s="19">
        <v>200</v>
      </c>
      <c r="J120" s="241" t="s">
        <v>11</v>
      </c>
      <c r="K120" s="242" t="s">
        <v>11</v>
      </c>
      <c r="L120" s="243">
        <v>2026</v>
      </c>
      <c r="M120" s="24"/>
      <c r="N120" s="24"/>
      <c r="O120" s="9"/>
      <c r="P120" s="230"/>
      <c r="Q120" s="229" t="s">
        <v>414</v>
      </c>
      <c r="R120" s="153"/>
      <c r="S120" s="9"/>
      <c r="T120" s="7"/>
      <c r="U120" s="7"/>
      <c r="V120" s="7"/>
      <c r="W120" s="7"/>
      <c r="X120" s="9"/>
      <c r="Y120" s="9"/>
      <c r="Z120" s="9"/>
      <c r="AA120" s="9"/>
      <c r="AB120" s="9"/>
      <c r="AC120" s="7"/>
      <c r="AD120" s="7"/>
      <c r="AE120" s="7"/>
      <c r="AF120" s="7"/>
      <c r="AG120" s="9"/>
      <c r="AH120" s="9"/>
      <c r="AI120" s="9"/>
      <c r="AJ120" s="9"/>
      <c r="AK120" s="9"/>
      <c r="AL120" s="7"/>
      <c r="AM120" s="8"/>
      <c r="AN120" s="7"/>
      <c r="AO120" s="7"/>
      <c r="AP120" s="9"/>
      <c r="AQ120" s="9"/>
      <c r="AR120" s="9"/>
      <c r="AS120" s="9"/>
      <c r="AT120" s="9"/>
      <c r="AU120" s="7"/>
      <c r="AV120" s="8"/>
    </row>
    <row r="121" spans="1:48" s="2" customFormat="1" ht="61.5" customHeight="1" x14ac:dyDescent="0.25">
      <c r="A121" s="19">
        <f t="shared" si="1"/>
        <v>101</v>
      </c>
      <c r="B121" s="156">
        <v>1</v>
      </c>
      <c r="C121" s="166"/>
      <c r="D121" s="184"/>
      <c r="E121" s="28" t="s">
        <v>181</v>
      </c>
      <c r="F121" s="28" t="s">
        <v>172</v>
      </c>
      <c r="G121" s="28" t="s">
        <v>282</v>
      </c>
      <c r="H121" s="19">
        <v>1986</v>
      </c>
      <c r="I121" s="19">
        <v>130</v>
      </c>
      <c r="J121" s="241" t="s">
        <v>11</v>
      </c>
      <c r="K121" s="242" t="s">
        <v>11</v>
      </c>
      <c r="L121" s="243">
        <v>2027</v>
      </c>
      <c r="M121" s="24"/>
      <c r="N121" s="24"/>
      <c r="O121" s="9"/>
      <c r="P121" s="230"/>
      <c r="Q121" s="229" t="s">
        <v>414</v>
      </c>
      <c r="R121" s="153"/>
      <c r="S121" s="9"/>
      <c r="T121" s="7"/>
      <c r="U121" s="7"/>
      <c r="V121" s="7"/>
      <c r="W121" s="7"/>
      <c r="X121" s="9"/>
      <c r="Y121" s="9"/>
      <c r="Z121" s="9"/>
      <c r="AA121" s="9"/>
      <c r="AB121" s="9"/>
      <c r="AC121" s="7"/>
      <c r="AD121" s="7"/>
      <c r="AE121" s="7"/>
      <c r="AF121" s="7"/>
      <c r="AG121" s="9"/>
      <c r="AH121" s="9"/>
      <c r="AI121" s="9"/>
      <c r="AJ121" s="9"/>
      <c r="AK121" s="9"/>
      <c r="AL121" s="7"/>
      <c r="AM121" s="8"/>
      <c r="AN121" s="7"/>
      <c r="AO121" s="7"/>
      <c r="AP121" s="9"/>
      <c r="AQ121" s="9"/>
      <c r="AR121" s="9"/>
      <c r="AS121" s="9"/>
      <c r="AT121" s="9"/>
      <c r="AU121" s="7"/>
      <c r="AV121" s="8"/>
    </row>
    <row r="122" spans="1:48" s="2" customFormat="1" ht="61.5" customHeight="1" x14ac:dyDescent="0.25">
      <c r="A122" s="19">
        <f t="shared" si="1"/>
        <v>102</v>
      </c>
      <c r="B122" s="156">
        <v>1</v>
      </c>
      <c r="C122" s="165"/>
      <c r="D122" s="183"/>
      <c r="E122" s="28" t="s">
        <v>51</v>
      </c>
      <c r="F122" s="28" t="s">
        <v>182</v>
      </c>
      <c r="G122" s="28" t="s">
        <v>282</v>
      </c>
      <c r="H122" s="19">
        <v>2001</v>
      </c>
      <c r="I122" s="19">
        <v>750</v>
      </c>
      <c r="J122" s="241" t="s">
        <v>11</v>
      </c>
      <c r="K122" s="242" t="s">
        <v>11</v>
      </c>
      <c r="L122" s="243">
        <v>2029</v>
      </c>
      <c r="M122" s="24"/>
      <c r="N122" s="24"/>
      <c r="O122" s="9"/>
      <c r="P122" s="230"/>
      <c r="Q122" s="229" t="s">
        <v>414</v>
      </c>
      <c r="R122" s="153"/>
      <c r="S122" s="9"/>
      <c r="T122" s="7"/>
      <c r="U122" s="7"/>
      <c r="V122" s="7"/>
      <c r="W122" s="7"/>
      <c r="X122" s="9"/>
      <c r="Y122" s="9"/>
      <c r="Z122" s="9"/>
      <c r="AA122" s="9"/>
      <c r="AB122" s="9"/>
      <c r="AC122" s="7"/>
      <c r="AD122" s="7"/>
      <c r="AE122" s="7"/>
      <c r="AF122" s="7"/>
      <c r="AG122" s="9"/>
      <c r="AH122" s="9"/>
      <c r="AI122" s="9"/>
      <c r="AJ122" s="9"/>
      <c r="AK122" s="9"/>
      <c r="AL122" s="7"/>
      <c r="AM122" s="8"/>
      <c r="AN122" s="7"/>
      <c r="AO122" s="7"/>
      <c r="AP122" s="9"/>
      <c r="AQ122" s="9"/>
      <c r="AR122" s="9"/>
      <c r="AS122" s="9"/>
      <c r="AT122" s="9"/>
      <c r="AU122" s="7"/>
      <c r="AV122" s="8"/>
    </row>
    <row r="123" spans="1:48" s="2" customFormat="1" ht="81" customHeight="1" x14ac:dyDescent="0.25">
      <c r="A123" s="19">
        <f t="shared" si="1"/>
        <v>103</v>
      </c>
      <c r="B123" s="19">
        <v>1</v>
      </c>
      <c r="C123" s="165" t="s">
        <v>308</v>
      </c>
      <c r="D123" s="180" t="s">
        <v>431</v>
      </c>
      <c r="E123" s="28" t="s">
        <v>187</v>
      </c>
      <c r="F123" s="28" t="s">
        <v>186</v>
      </c>
      <c r="G123" s="28" t="s">
        <v>32</v>
      </c>
      <c r="H123" s="19">
        <v>1985</v>
      </c>
      <c r="I123" s="19">
        <v>1370.7</v>
      </c>
      <c r="J123" s="241" t="s">
        <v>11</v>
      </c>
      <c r="K123" s="242" t="s">
        <v>11</v>
      </c>
      <c r="L123" s="243">
        <v>2027</v>
      </c>
      <c r="M123" s="24"/>
      <c r="N123" s="24" t="s">
        <v>10</v>
      </c>
      <c r="O123" s="9"/>
      <c r="P123" s="230"/>
      <c r="Q123" s="229" t="s">
        <v>414</v>
      </c>
      <c r="R123" s="153"/>
      <c r="S123" s="9"/>
      <c r="T123" s="7"/>
      <c r="U123" s="7"/>
      <c r="V123" s="7"/>
      <c r="W123" s="7"/>
      <c r="X123" s="9"/>
      <c r="Y123" s="9"/>
      <c r="Z123" s="9"/>
      <c r="AA123" s="9"/>
      <c r="AB123" s="9"/>
      <c r="AC123" s="7"/>
      <c r="AD123" s="7"/>
      <c r="AE123" s="7"/>
      <c r="AF123" s="7"/>
      <c r="AG123" s="9"/>
      <c r="AH123" s="9"/>
      <c r="AI123" s="9"/>
      <c r="AJ123" s="9"/>
      <c r="AK123" s="9"/>
      <c r="AL123" s="7"/>
      <c r="AM123" s="8"/>
      <c r="AN123" s="7"/>
      <c r="AO123" s="7"/>
      <c r="AP123" s="9"/>
      <c r="AQ123" s="9"/>
      <c r="AR123" s="9"/>
      <c r="AS123" s="9"/>
      <c r="AT123" s="9"/>
      <c r="AU123" s="7"/>
      <c r="AV123" s="8"/>
    </row>
    <row r="124" spans="1:48" ht="15" customHeight="1" x14ac:dyDescent="0.2">
      <c r="A124" s="174"/>
      <c r="B124" s="9"/>
      <c r="C124" s="25" t="s">
        <v>421</v>
      </c>
      <c r="D124" s="181"/>
      <c r="E124" s="13"/>
      <c r="F124" s="13"/>
      <c r="G124" s="13"/>
      <c r="H124" s="9"/>
      <c r="I124" s="9"/>
      <c r="J124" s="161"/>
      <c r="K124" s="244"/>
      <c r="L124" s="163"/>
      <c r="M124" s="7"/>
      <c r="N124" s="7"/>
      <c r="O124" s="9"/>
      <c r="P124" s="230"/>
      <c r="Q124" s="229"/>
      <c r="R124" s="153"/>
      <c r="S124" s="9"/>
      <c r="T124" s="7"/>
      <c r="V124" s="7"/>
      <c r="W124" s="7"/>
      <c r="X124" s="9"/>
      <c r="Y124" s="9"/>
      <c r="Z124" s="9"/>
      <c r="AA124" s="9"/>
      <c r="AB124" s="9"/>
      <c r="AC124" s="7"/>
      <c r="AD124" s="7"/>
      <c r="AE124" s="7"/>
      <c r="AF124" s="7"/>
      <c r="AG124" s="9"/>
      <c r="AH124" s="9"/>
      <c r="AI124" s="9"/>
      <c r="AJ124" s="9"/>
      <c r="AK124" s="9"/>
      <c r="AL124" s="7"/>
      <c r="AM124" s="8"/>
      <c r="AN124" s="7"/>
      <c r="AO124" s="7"/>
      <c r="AP124" s="9"/>
      <c r="AQ124" s="9"/>
      <c r="AR124" s="9"/>
      <c r="AS124" s="9"/>
      <c r="AT124" s="9"/>
      <c r="AU124" s="7"/>
      <c r="AV124" s="8"/>
    </row>
    <row r="125" spans="1:48" ht="15" customHeight="1" x14ac:dyDescent="0.2">
      <c r="A125" s="174"/>
      <c r="B125" s="9"/>
      <c r="C125" s="193" t="s">
        <v>422</v>
      </c>
      <c r="D125" s="181"/>
      <c r="E125" s="13"/>
      <c r="F125" s="13"/>
      <c r="G125" s="13"/>
      <c r="H125" s="9"/>
      <c r="I125" s="9"/>
      <c r="J125" s="161"/>
      <c r="K125" s="244"/>
      <c r="L125" s="163"/>
      <c r="M125" s="7"/>
      <c r="N125" s="7"/>
      <c r="O125" s="9"/>
      <c r="P125" s="230"/>
      <c r="Q125" s="229"/>
      <c r="R125" s="153"/>
      <c r="S125" s="9"/>
      <c r="T125" s="7"/>
      <c r="U125" s="7"/>
      <c r="V125" s="7"/>
      <c r="W125" s="7"/>
      <c r="X125" s="9"/>
      <c r="Y125" s="9"/>
      <c r="Z125" s="9"/>
      <c r="AA125" s="9"/>
      <c r="AB125" s="9"/>
      <c r="AC125" s="7"/>
      <c r="AD125" s="7"/>
      <c r="AE125" s="7"/>
      <c r="AF125" s="7"/>
      <c r="AG125" s="9"/>
      <c r="AH125" s="9"/>
      <c r="AI125" s="9"/>
      <c r="AJ125" s="9"/>
      <c r="AK125" s="9"/>
      <c r="AL125" s="7"/>
      <c r="AM125" s="8"/>
      <c r="AN125" s="7"/>
      <c r="AO125" s="7"/>
      <c r="AP125" s="9"/>
      <c r="AQ125" s="9"/>
      <c r="AR125" s="9"/>
      <c r="AS125" s="9"/>
      <c r="AT125" s="9"/>
      <c r="AU125" s="7"/>
      <c r="AV125" s="8"/>
    </row>
    <row r="126" spans="1:48" s="3" customFormat="1" ht="69.75" customHeight="1" x14ac:dyDescent="0.25">
      <c r="A126" s="19">
        <f>A123+1</f>
        <v>104</v>
      </c>
      <c r="B126" s="156">
        <v>1</v>
      </c>
      <c r="C126" s="164" t="s">
        <v>188</v>
      </c>
      <c r="D126" s="182" t="s">
        <v>188</v>
      </c>
      <c r="E126" s="28" t="s">
        <v>14</v>
      </c>
      <c r="F126" s="28" t="s">
        <v>189</v>
      </c>
      <c r="G126" s="28" t="s">
        <v>29</v>
      </c>
      <c r="H126" s="19">
        <v>1966</v>
      </c>
      <c r="I126" s="19">
        <v>56.6</v>
      </c>
      <c r="J126" s="241" t="s">
        <v>9</v>
      </c>
      <c r="K126" s="242" t="s">
        <v>9</v>
      </c>
      <c r="L126" s="243">
        <v>2027</v>
      </c>
      <c r="M126" s="24"/>
      <c r="N126" s="24"/>
      <c r="O126" s="12"/>
      <c r="P126" s="230"/>
      <c r="Q126" s="229" t="s">
        <v>416</v>
      </c>
      <c r="R126" s="155"/>
      <c r="S126" s="12"/>
      <c r="T126" s="10"/>
      <c r="U126" s="10"/>
      <c r="V126" s="10"/>
      <c r="W126" s="10"/>
      <c r="X126" s="12"/>
      <c r="Y126" s="12"/>
      <c r="Z126" s="12"/>
      <c r="AA126" s="12"/>
      <c r="AB126" s="12"/>
      <c r="AC126" s="10"/>
      <c r="AD126" s="10"/>
      <c r="AE126" s="10"/>
      <c r="AF126" s="10"/>
      <c r="AG126" s="12"/>
      <c r="AH126" s="12"/>
      <c r="AI126" s="12"/>
      <c r="AJ126" s="12"/>
      <c r="AK126" s="12"/>
      <c r="AL126" s="10"/>
      <c r="AM126" s="11"/>
      <c r="AN126" s="10"/>
      <c r="AO126" s="10"/>
      <c r="AP126" s="12"/>
      <c r="AQ126" s="12"/>
      <c r="AR126" s="12"/>
      <c r="AS126" s="12"/>
      <c r="AT126" s="12"/>
      <c r="AU126" s="10"/>
      <c r="AV126" s="11"/>
    </row>
    <row r="127" spans="1:48" s="2" customFormat="1" ht="66.599999999999994" customHeight="1" x14ac:dyDescent="0.25">
      <c r="A127" s="19">
        <f>A126+1</f>
        <v>105</v>
      </c>
      <c r="B127" s="156">
        <v>1</v>
      </c>
      <c r="C127" s="166"/>
      <c r="D127" s="184"/>
      <c r="E127" s="28" t="s">
        <v>15</v>
      </c>
      <c r="F127" s="28" t="s">
        <v>189</v>
      </c>
      <c r="G127" s="28" t="s">
        <v>29</v>
      </c>
      <c r="H127" s="19">
        <v>1966</v>
      </c>
      <c r="I127" s="19">
        <v>62.1</v>
      </c>
      <c r="J127" s="241" t="s">
        <v>9</v>
      </c>
      <c r="K127" s="242" t="s">
        <v>9</v>
      </c>
      <c r="L127" s="243">
        <v>2027</v>
      </c>
      <c r="M127" s="24"/>
      <c r="N127" s="24"/>
      <c r="O127" s="9"/>
      <c r="P127" s="230"/>
      <c r="Q127" s="229" t="s">
        <v>416</v>
      </c>
      <c r="R127" s="153"/>
      <c r="S127" s="9"/>
      <c r="T127" s="7"/>
      <c r="U127" s="7"/>
      <c r="V127" s="7"/>
      <c r="W127" s="7"/>
      <c r="X127" s="9"/>
      <c r="Y127" s="9"/>
      <c r="Z127" s="9"/>
      <c r="AA127" s="9"/>
      <c r="AB127" s="9"/>
      <c r="AC127" s="7"/>
      <c r="AD127" s="7"/>
      <c r="AE127" s="7"/>
      <c r="AF127" s="7"/>
      <c r="AG127" s="9"/>
      <c r="AH127" s="9"/>
      <c r="AI127" s="9"/>
      <c r="AJ127" s="9"/>
      <c r="AK127" s="9"/>
      <c r="AL127" s="7"/>
      <c r="AM127" s="8"/>
      <c r="AN127" s="7"/>
      <c r="AO127" s="7"/>
      <c r="AP127" s="9"/>
      <c r="AQ127" s="9"/>
      <c r="AR127" s="9"/>
      <c r="AS127" s="9"/>
      <c r="AT127" s="9"/>
      <c r="AU127" s="7"/>
      <c r="AV127" s="8"/>
    </row>
    <row r="128" spans="1:48" s="2" customFormat="1" ht="32.25" customHeight="1" x14ac:dyDescent="0.25">
      <c r="A128" s="19">
        <f t="shared" ref="A128:A130" si="2">A127+1</f>
        <v>106</v>
      </c>
      <c r="B128" s="156">
        <v>1</v>
      </c>
      <c r="C128" s="166"/>
      <c r="D128" s="184"/>
      <c r="E128" s="28" t="s">
        <v>16</v>
      </c>
      <c r="F128" s="28" t="s">
        <v>189</v>
      </c>
      <c r="G128" s="28" t="s">
        <v>29</v>
      </c>
      <c r="H128" s="19">
        <v>1966</v>
      </c>
      <c r="I128" s="19">
        <v>73.3</v>
      </c>
      <c r="J128" s="241" t="s">
        <v>9</v>
      </c>
      <c r="K128" s="242" t="s">
        <v>9</v>
      </c>
      <c r="L128" s="243">
        <v>2027</v>
      </c>
      <c r="M128" s="24"/>
      <c r="N128" s="24"/>
      <c r="O128" s="9"/>
      <c r="P128" s="230"/>
      <c r="Q128" s="229" t="s">
        <v>416</v>
      </c>
      <c r="R128" s="153"/>
      <c r="S128" s="9"/>
      <c r="T128" s="7"/>
      <c r="U128" s="7"/>
      <c r="V128" s="7"/>
      <c r="W128" s="7"/>
      <c r="X128" s="9"/>
      <c r="Y128" s="9"/>
      <c r="Z128" s="9"/>
      <c r="AA128" s="9"/>
      <c r="AB128" s="9"/>
      <c r="AC128" s="7"/>
      <c r="AD128" s="7"/>
      <c r="AE128" s="7"/>
      <c r="AF128" s="7"/>
      <c r="AG128" s="9"/>
      <c r="AH128" s="9"/>
      <c r="AI128" s="9"/>
      <c r="AJ128" s="9"/>
      <c r="AK128" s="9"/>
      <c r="AL128" s="7"/>
      <c r="AM128" s="8"/>
      <c r="AN128" s="7"/>
      <c r="AO128" s="7"/>
      <c r="AP128" s="9"/>
      <c r="AQ128" s="9"/>
      <c r="AR128" s="9"/>
      <c r="AS128" s="9"/>
      <c r="AT128" s="9"/>
      <c r="AU128" s="7"/>
      <c r="AV128" s="8"/>
    </row>
    <row r="129" spans="1:48" s="2" customFormat="1" ht="32.25" customHeight="1" x14ac:dyDescent="0.25">
      <c r="A129" s="19">
        <f t="shared" si="2"/>
        <v>107</v>
      </c>
      <c r="B129" s="156">
        <v>1</v>
      </c>
      <c r="C129" s="166"/>
      <c r="D129" s="184"/>
      <c r="E129" s="28" t="s">
        <v>16</v>
      </c>
      <c r="F129" s="28" t="s">
        <v>189</v>
      </c>
      <c r="G129" s="28" t="s">
        <v>29</v>
      </c>
      <c r="H129" s="19">
        <v>1966</v>
      </c>
      <c r="I129" s="19">
        <v>69</v>
      </c>
      <c r="J129" s="241" t="s">
        <v>9</v>
      </c>
      <c r="K129" s="242" t="s">
        <v>9</v>
      </c>
      <c r="L129" s="243">
        <v>2027</v>
      </c>
      <c r="M129" s="24"/>
      <c r="N129" s="24"/>
      <c r="O129" s="9"/>
      <c r="P129" s="230"/>
      <c r="Q129" s="229" t="s">
        <v>416</v>
      </c>
      <c r="R129" s="153"/>
      <c r="S129" s="9"/>
      <c r="T129" s="7"/>
      <c r="U129" s="7"/>
      <c r="V129" s="7"/>
      <c r="W129" s="7"/>
      <c r="X129" s="9"/>
      <c r="Y129" s="9"/>
      <c r="Z129" s="9"/>
      <c r="AA129" s="9"/>
      <c r="AB129" s="9"/>
      <c r="AC129" s="7"/>
      <c r="AD129" s="7"/>
      <c r="AE129" s="7"/>
      <c r="AF129" s="7"/>
      <c r="AG129" s="9"/>
      <c r="AH129" s="9"/>
      <c r="AI129" s="9"/>
      <c r="AJ129" s="9"/>
      <c r="AK129" s="9"/>
      <c r="AL129" s="7"/>
      <c r="AM129" s="8"/>
      <c r="AN129" s="7"/>
      <c r="AO129" s="7"/>
      <c r="AP129" s="9"/>
      <c r="AQ129" s="9"/>
      <c r="AR129" s="9"/>
      <c r="AS129" s="9"/>
      <c r="AT129" s="9"/>
      <c r="AU129" s="7"/>
      <c r="AV129" s="8"/>
    </row>
    <row r="130" spans="1:48" s="2" customFormat="1" ht="32.25" customHeight="1" x14ac:dyDescent="0.25">
      <c r="A130" s="19">
        <f t="shared" si="2"/>
        <v>108</v>
      </c>
      <c r="B130" s="156">
        <v>1</v>
      </c>
      <c r="C130" s="165"/>
      <c r="D130" s="183"/>
      <c r="E130" s="28" t="s">
        <v>16</v>
      </c>
      <c r="F130" s="28" t="s">
        <v>189</v>
      </c>
      <c r="G130" s="28" t="s">
        <v>29</v>
      </c>
      <c r="H130" s="19">
        <v>1966</v>
      </c>
      <c r="I130" s="19">
        <v>114.5</v>
      </c>
      <c r="J130" s="241" t="s">
        <v>9</v>
      </c>
      <c r="K130" s="242" t="s">
        <v>9</v>
      </c>
      <c r="L130" s="243">
        <v>2027</v>
      </c>
      <c r="M130" s="24"/>
      <c r="N130" s="24"/>
      <c r="O130" s="9"/>
      <c r="P130" s="230"/>
      <c r="Q130" s="229" t="s">
        <v>416</v>
      </c>
      <c r="R130" s="153"/>
      <c r="S130" s="9"/>
      <c r="T130" s="7"/>
      <c r="U130" s="7"/>
      <c r="V130" s="7"/>
      <c r="W130" s="7"/>
      <c r="X130" s="9"/>
      <c r="Y130" s="9"/>
      <c r="Z130" s="9"/>
      <c r="AA130" s="9"/>
      <c r="AB130" s="9"/>
      <c r="AC130" s="7"/>
      <c r="AD130" s="7"/>
      <c r="AE130" s="7"/>
      <c r="AF130" s="7"/>
      <c r="AG130" s="9"/>
      <c r="AH130" s="9"/>
      <c r="AI130" s="9"/>
      <c r="AJ130" s="9"/>
      <c r="AK130" s="9"/>
      <c r="AL130" s="7"/>
      <c r="AM130" s="8"/>
      <c r="AN130" s="7"/>
      <c r="AO130" s="7"/>
      <c r="AP130" s="9"/>
      <c r="AQ130" s="9"/>
      <c r="AR130" s="9"/>
      <c r="AS130" s="9"/>
      <c r="AT130" s="9"/>
      <c r="AU130" s="7"/>
      <c r="AV130" s="8"/>
    </row>
    <row r="131" spans="1:48" ht="15" customHeight="1" x14ac:dyDescent="0.2">
      <c r="A131" s="174"/>
      <c r="B131" s="9"/>
      <c r="C131" s="167" t="s">
        <v>78</v>
      </c>
      <c r="D131" s="181"/>
      <c r="E131" s="13"/>
      <c r="F131" s="13"/>
      <c r="G131" s="13"/>
      <c r="H131" s="9"/>
      <c r="I131" s="9"/>
      <c r="J131" s="161"/>
      <c r="K131" s="244"/>
      <c r="L131" s="163"/>
      <c r="M131" s="7"/>
      <c r="N131" s="7"/>
      <c r="O131" s="9"/>
      <c r="P131" s="230"/>
      <c r="Q131" s="229"/>
      <c r="R131" s="153"/>
      <c r="S131" s="9"/>
      <c r="T131" s="7"/>
      <c r="U131" s="7"/>
      <c r="V131" s="7"/>
      <c r="W131" s="7"/>
      <c r="X131" s="9"/>
      <c r="Y131" s="9"/>
      <c r="Z131" s="9"/>
      <c r="AA131" s="9"/>
      <c r="AB131" s="9"/>
      <c r="AC131" s="7"/>
      <c r="AD131" s="7"/>
      <c r="AE131" s="7"/>
      <c r="AF131" s="7"/>
      <c r="AG131" s="9"/>
      <c r="AH131" s="9"/>
      <c r="AI131" s="9"/>
      <c r="AJ131" s="9"/>
      <c r="AK131" s="9"/>
      <c r="AL131" s="7"/>
      <c r="AM131" s="8"/>
      <c r="AN131" s="7"/>
      <c r="AO131" s="7"/>
      <c r="AP131" s="9"/>
      <c r="AQ131" s="9"/>
      <c r="AR131" s="9"/>
      <c r="AS131" s="9"/>
      <c r="AT131" s="9"/>
      <c r="AU131" s="7"/>
      <c r="AV131" s="8"/>
    </row>
    <row r="132" spans="1:48" s="2" customFormat="1" ht="60.75" hidden="1" customHeight="1" x14ac:dyDescent="0.25">
      <c r="A132" s="19"/>
      <c r="B132" s="156">
        <v>1</v>
      </c>
      <c r="C132" s="164" t="s">
        <v>190</v>
      </c>
      <c r="D132" s="182" t="s">
        <v>190</v>
      </c>
      <c r="E132" s="290" t="s">
        <v>358</v>
      </c>
      <c r="F132" s="290" t="s">
        <v>192</v>
      </c>
      <c r="G132" s="290" t="s">
        <v>287</v>
      </c>
      <c r="H132" s="291">
        <v>1978</v>
      </c>
      <c r="I132" s="291">
        <v>77</v>
      </c>
      <c r="J132" s="292" t="s">
        <v>9</v>
      </c>
      <c r="K132" s="292" t="s">
        <v>9</v>
      </c>
      <c r="L132" s="292">
        <v>2026</v>
      </c>
      <c r="M132" s="293"/>
      <c r="N132" s="293" t="s">
        <v>523</v>
      </c>
      <c r="O132" s="9"/>
      <c r="P132" s="230"/>
      <c r="Q132" s="229" t="s">
        <v>417</v>
      </c>
      <c r="R132" s="153"/>
      <c r="S132" s="9"/>
      <c r="T132" s="7"/>
      <c r="U132" s="7"/>
      <c r="V132" s="7"/>
      <c r="W132" s="7"/>
      <c r="X132" s="9"/>
      <c r="Y132" s="9"/>
      <c r="Z132" s="9"/>
      <c r="AA132" s="9"/>
      <c r="AB132" s="9"/>
      <c r="AC132" s="7"/>
      <c r="AD132" s="7"/>
      <c r="AE132" s="7"/>
      <c r="AF132" s="7"/>
      <c r="AG132" s="9"/>
      <c r="AH132" s="9"/>
      <c r="AI132" s="9"/>
      <c r="AJ132" s="9"/>
      <c r="AK132" s="9"/>
      <c r="AL132" s="7"/>
      <c r="AM132" s="8"/>
      <c r="AN132" s="7"/>
      <c r="AO132" s="7"/>
      <c r="AP132" s="9"/>
      <c r="AQ132" s="9"/>
      <c r="AR132" s="9"/>
      <c r="AS132" s="9"/>
      <c r="AT132" s="9"/>
      <c r="AU132" s="7"/>
      <c r="AV132" s="8"/>
    </row>
    <row r="133" spans="1:48" s="2" customFormat="1" ht="53.25" customHeight="1" x14ac:dyDescent="0.25">
      <c r="A133" s="19">
        <v>109</v>
      </c>
      <c r="B133" s="156">
        <v>1</v>
      </c>
      <c r="C133" s="166" t="s">
        <v>532</v>
      </c>
      <c r="D133" s="184"/>
      <c r="E133" s="28" t="s">
        <v>359</v>
      </c>
      <c r="F133" s="28" t="s">
        <v>191</v>
      </c>
      <c r="G133" s="28" t="s">
        <v>287</v>
      </c>
      <c r="H133" s="19">
        <v>1979</v>
      </c>
      <c r="I133" s="19">
        <v>87</v>
      </c>
      <c r="J133" s="241" t="s">
        <v>9</v>
      </c>
      <c r="K133" s="242" t="s">
        <v>9</v>
      </c>
      <c r="L133" s="241">
        <v>2026</v>
      </c>
      <c r="M133" s="24"/>
      <c r="N133" s="24"/>
      <c r="O133" s="9"/>
      <c r="P133" s="230"/>
      <c r="Q133" s="229" t="s">
        <v>417</v>
      </c>
      <c r="R133" s="153"/>
      <c r="S133" s="9"/>
      <c r="T133" s="7"/>
      <c r="U133" s="7"/>
      <c r="V133" s="7"/>
      <c r="W133" s="7"/>
      <c r="X133" s="9"/>
      <c r="Y133" s="9"/>
      <c r="Z133" s="9"/>
      <c r="AA133" s="9"/>
      <c r="AB133" s="9"/>
      <c r="AC133" s="7"/>
      <c r="AD133" s="7"/>
      <c r="AE133" s="7"/>
      <c r="AF133" s="7"/>
      <c r="AG133" s="9"/>
      <c r="AH133" s="9"/>
      <c r="AI133" s="9"/>
      <c r="AJ133" s="9"/>
      <c r="AK133" s="9"/>
      <c r="AL133" s="7"/>
      <c r="AM133" s="8"/>
      <c r="AN133" s="7"/>
      <c r="AO133" s="7"/>
      <c r="AP133" s="9"/>
      <c r="AQ133" s="9"/>
      <c r="AR133" s="9"/>
      <c r="AS133" s="9"/>
      <c r="AT133" s="9"/>
      <c r="AU133" s="7"/>
      <c r="AV133" s="8"/>
    </row>
    <row r="134" spans="1:48" s="2" customFormat="1" ht="74.25" customHeight="1" x14ac:dyDescent="0.25">
      <c r="A134" s="19">
        <f t="shared" ref="A134:A162" si="3">A133+1</f>
        <v>110</v>
      </c>
      <c r="B134" s="156">
        <v>1</v>
      </c>
      <c r="C134" s="166"/>
      <c r="D134" s="184"/>
      <c r="E134" s="28" t="s">
        <v>193</v>
      </c>
      <c r="F134" s="28" t="s">
        <v>194</v>
      </c>
      <c r="G134" s="28" t="s">
        <v>287</v>
      </c>
      <c r="H134" s="19">
        <v>1980</v>
      </c>
      <c r="I134" s="19">
        <v>203.4</v>
      </c>
      <c r="J134" s="241" t="s">
        <v>9</v>
      </c>
      <c r="K134" s="242" t="s">
        <v>9</v>
      </c>
      <c r="L134" s="241">
        <v>2026</v>
      </c>
      <c r="M134" s="24"/>
      <c r="N134" s="24"/>
      <c r="O134" s="9"/>
      <c r="P134" s="230"/>
      <c r="Q134" s="229" t="s">
        <v>417</v>
      </c>
      <c r="R134" s="153"/>
      <c r="S134" s="9"/>
      <c r="T134" s="7"/>
      <c r="U134" s="7"/>
      <c r="V134" s="7"/>
      <c r="W134" s="7"/>
      <c r="X134" s="9"/>
      <c r="Y134" s="9"/>
      <c r="Z134" s="9"/>
      <c r="AA134" s="9"/>
      <c r="AB134" s="9"/>
      <c r="AC134" s="7"/>
      <c r="AD134" s="7"/>
      <c r="AE134" s="7"/>
      <c r="AF134" s="7"/>
      <c r="AG134" s="9"/>
      <c r="AH134" s="9"/>
      <c r="AI134" s="9"/>
      <c r="AJ134" s="9"/>
      <c r="AK134" s="9"/>
      <c r="AL134" s="7"/>
      <c r="AM134" s="8"/>
      <c r="AN134" s="7"/>
      <c r="AO134" s="7"/>
      <c r="AP134" s="9"/>
      <c r="AQ134" s="9"/>
      <c r="AR134" s="9"/>
      <c r="AS134" s="9"/>
      <c r="AT134" s="9"/>
      <c r="AU134" s="7"/>
      <c r="AV134" s="8"/>
    </row>
    <row r="135" spans="1:48" s="2" customFormat="1" ht="60.75" hidden="1" customHeight="1" x14ac:dyDescent="0.25">
      <c r="A135" s="19"/>
      <c r="B135" s="156">
        <v>1</v>
      </c>
      <c r="C135" s="166"/>
      <c r="D135" s="184"/>
      <c r="E135" s="290" t="s">
        <v>360</v>
      </c>
      <c r="F135" s="290" t="s">
        <v>195</v>
      </c>
      <c r="G135" s="290" t="s">
        <v>287</v>
      </c>
      <c r="H135" s="291">
        <v>1970</v>
      </c>
      <c r="I135" s="291">
        <v>58</v>
      </c>
      <c r="J135" s="292" t="s">
        <v>9</v>
      </c>
      <c r="K135" s="292" t="s">
        <v>9</v>
      </c>
      <c r="L135" s="292">
        <v>2026</v>
      </c>
      <c r="M135" s="293"/>
      <c r="N135" s="293" t="s">
        <v>524</v>
      </c>
      <c r="O135" s="9"/>
      <c r="P135" s="230"/>
      <c r="Q135" s="229" t="s">
        <v>417</v>
      </c>
      <c r="R135" s="153"/>
      <c r="S135" s="9"/>
      <c r="T135" s="7"/>
      <c r="U135" s="7"/>
      <c r="V135" s="7"/>
      <c r="W135" s="7"/>
      <c r="X135" s="9"/>
      <c r="Y135" s="9"/>
      <c r="Z135" s="9"/>
      <c r="AA135" s="9"/>
      <c r="AB135" s="9"/>
      <c r="AC135" s="7"/>
      <c r="AD135" s="7"/>
      <c r="AE135" s="7"/>
      <c r="AF135" s="7"/>
      <c r="AG135" s="9"/>
      <c r="AH135" s="9"/>
      <c r="AI135" s="9"/>
      <c r="AJ135" s="9"/>
      <c r="AK135" s="9"/>
      <c r="AL135" s="7"/>
      <c r="AM135" s="8"/>
      <c r="AN135" s="7"/>
      <c r="AO135" s="7"/>
      <c r="AP135" s="9"/>
      <c r="AQ135" s="9"/>
      <c r="AR135" s="9"/>
      <c r="AS135" s="9"/>
      <c r="AT135" s="9"/>
      <c r="AU135" s="7"/>
      <c r="AV135" s="8"/>
    </row>
    <row r="136" spans="1:48" s="2" customFormat="1" ht="69.75" customHeight="1" x14ac:dyDescent="0.25">
      <c r="A136" s="19">
        <v>111</v>
      </c>
      <c r="B136" s="156">
        <v>1</v>
      </c>
      <c r="C136" s="166"/>
      <c r="D136" s="184"/>
      <c r="E136" s="28" t="s">
        <v>533</v>
      </c>
      <c r="F136" s="28" t="s">
        <v>197</v>
      </c>
      <c r="G136" s="28" t="s">
        <v>287</v>
      </c>
      <c r="H136" s="19">
        <v>1962</v>
      </c>
      <c r="I136" s="19">
        <v>164</v>
      </c>
      <c r="J136" s="241" t="s">
        <v>61</v>
      </c>
      <c r="K136" s="242" t="s">
        <v>61</v>
      </c>
      <c r="L136" s="241">
        <v>2027</v>
      </c>
      <c r="M136" s="24"/>
      <c r="N136" s="24"/>
      <c r="O136" s="9"/>
      <c r="P136" s="230"/>
      <c r="Q136" s="229" t="s">
        <v>417</v>
      </c>
      <c r="R136" s="153"/>
      <c r="S136" s="9"/>
      <c r="T136" s="7"/>
      <c r="U136" s="7"/>
      <c r="V136" s="7"/>
      <c r="W136" s="7"/>
      <c r="X136" s="9"/>
      <c r="Y136" s="9"/>
      <c r="Z136" s="9"/>
      <c r="AA136" s="9"/>
      <c r="AB136" s="9"/>
      <c r="AC136" s="7"/>
      <c r="AD136" s="7"/>
      <c r="AE136" s="7"/>
      <c r="AF136" s="7"/>
      <c r="AG136" s="9"/>
      <c r="AH136" s="9"/>
      <c r="AI136" s="9"/>
      <c r="AJ136" s="9"/>
      <c r="AK136" s="9"/>
      <c r="AL136" s="7"/>
      <c r="AM136" s="8"/>
      <c r="AN136" s="7"/>
      <c r="AO136" s="7"/>
      <c r="AP136" s="9"/>
      <c r="AQ136" s="9"/>
      <c r="AR136" s="9"/>
      <c r="AS136" s="9"/>
      <c r="AT136" s="9"/>
      <c r="AU136" s="7"/>
      <c r="AV136" s="8"/>
    </row>
    <row r="137" spans="1:48" s="2" customFormat="1" ht="62.25" customHeight="1" x14ac:dyDescent="0.25">
      <c r="A137" s="19">
        <v>112</v>
      </c>
      <c r="B137" s="156">
        <v>1</v>
      </c>
      <c r="C137" s="166"/>
      <c r="D137" s="184"/>
      <c r="E137" s="28" t="s">
        <v>198</v>
      </c>
      <c r="F137" s="28" t="s">
        <v>182</v>
      </c>
      <c r="G137" s="28" t="s">
        <v>286</v>
      </c>
      <c r="H137" s="19">
        <v>1967</v>
      </c>
      <c r="I137" s="19">
        <v>1038</v>
      </c>
      <c r="J137" s="241" t="s">
        <v>9</v>
      </c>
      <c r="K137" s="242" t="s">
        <v>9</v>
      </c>
      <c r="L137" s="241">
        <v>2026</v>
      </c>
      <c r="M137" s="24"/>
      <c r="N137" s="24"/>
      <c r="O137" s="9"/>
      <c r="P137" s="230"/>
      <c r="Q137" s="229" t="s">
        <v>417</v>
      </c>
      <c r="R137" s="153"/>
      <c r="S137" s="9"/>
      <c r="T137" s="7"/>
      <c r="U137" s="7"/>
      <c r="V137" s="7"/>
      <c r="W137" s="7"/>
      <c r="X137" s="9"/>
      <c r="Y137" s="9"/>
      <c r="Z137" s="9"/>
      <c r="AA137" s="9"/>
      <c r="AB137" s="9"/>
      <c r="AC137" s="7"/>
      <c r="AD137" s="7"/>
      <c r="AE137" s="7"/>
      <c r="AF137" s="7"/>
      <c r="AG137" s="9"/>
      <c r="AH137" s="9"/>
      <c r="AI137" s="9"/>
      <c r="AJ137" s="9"/>
      <c r="AK137" s="9"/>
      <c r="AL137" s="7"/>
      <c r="AM137" s="8"/>
      <c r="AN137" s="7"/>
      <c r="AO137" s="7"/>
      <c r="AP137" s="9"/>
      <c r="AQ137" s="9"/>
      <c r="AR137" s="9"/>
      <c r="AS137" s="9"/>
      <c r="AT137" s="9"/>
      <c r="AU137" s="7"/>
      <c r="AV137" s="8"/>
    </row>
    <row r="138" spans="1:48" s="2" customFormat="1" ht="64.5" customHeight="1" x14ac:dyDescent="0.25">
      <c r="A138" s="19">
        <f t="shared" si="3"/>
        <v>113</v>
      </c>
      <c r="B138" s="156">
        <v>1</v>
      </c>
      <c r="C138" s="166"/>
      <c r="D138" s="184"/>
      <c r="E138" s="28" t="s">
        <v>534</v>
      </c>
      <c r="F138" s="28" t="s">
        <v>199</v>
      </c>
      <c r="G138" s="28" t="s">
        <v>75</v>
      </c>
      <c r="H138" s="19">
        <v>1969</v>
      </c>
      <c r="I138" s="19">
        <v>426</v>
      </c>
      <c r="J138" s="241" t="s">
        <v>9</v>
      </c>
      <c r="K138" s="242" t="s">
        <v>9</v>
      </c>
      <c r="L138" s="241">
        <v>2027</v>
      </c>
      <c r="M138" s="24"/>
      <c r="N138" s="24"/>
      <c r="O138" s="9"/>
      <c r="P138" s="230"/>
      <c r="Q138" s="229" t="s">
        <v>417</v>
      </c>
      <c r="R138" s="153"/>
      <c r="S138" s="9"/>
      <c r="T138" s="7"/>
      <c r="U138" s="7"/>
      <c r="V138" s="7"/>
      <c r="W138" s="7"/>
      <c r="X138" s="9"/>
      <c r="Y138" s="9"/>
      <c r="Z138" s="9"/>
      <c r="AA138" s="9"/>
      <c r="AB138" s="9"/>
      <c r="AC138" s="7"/>
      <c r="AD138" s="7"/>
      <c r="AE138" s="7"/>
      <c r="AF138" s="7"/>
      <c r="AG138" s="9"/>
      <c r="AH138" s="9"/>
      <c r="AI138" s="9"/>
      <c r="AJ138" s="9"/>
      <c r="AK138" s="9"/>
      <c r="AL138" s="7"/>
      <c r="AM138" s="8"/>
      <c r="AN138" s="7"/>
      <c r="AO138" s="7"/>
      <c r="AP138" s="9"/>
      <c r="AQ138" s="9"/>
      <c r="AR138" s="9"/>
      <c r="AS138" s="9"/>
      <c r="AT138" s="9"/>
      <c r="AU138" s="7"/>
      <c r="AV138" s="8"/>
    </row>
    <row r="139" spans="1:48" s="2" customFormat="1" ht="75.75" customHeight="1" x14ac:dyDescent="0.25">
      <c r="A139" s="19">
        <f t="shared" si="3"/>
        <v>114</v>
      </c>
      <c r="B139" s="156">
        <v>1</v>
      </c>
      <c r="C139" s="166"/>
      <c r="D139" s="184"/>
      <c r="E139" s="28" t="s">
        <v>535</v>
      </c>
      <c r="F139" s="28" t="s">
        <v>199</v>
      </c>
      <c r="G139" s="28" t="s">
        <v>75</v>
      </c>
      <c r="H139" s="19">
        <v>1967</v>
      </c>
      <c r="I139" s="19">
        <v>483</v>
      </c>
      <c r="J139" s="241" t="s">
        <v>9</v>
      </c>
      <c r="K139" s="242" t="s">
        <v>9</v>
      </c>
      <c r="L139" s="241">
        <v>2027</v>
      </c>
      <c r="M139" s="24"/>
      <c r="N139" s="24"/>
      <c r="O139" s="9"/>
      <c r="P139" s="230"/>
      <c r="Q139" s="229" t="s">
        <v>417</v>
      </c>
      <c r="R139" s="153"/>
      <c r="S139" s="9"/>
      <c r="T139" s="7"/>
      <c r="U139" s="7"/>
      <c r="V139" s="7"/>
      <c r="W139" s="7"/>
      <c r="X139" s="9"/>
      <c r="Y139" s="9"/>
      <c r="Z139" s="9"/>
      <c r="AA139" s="9"/>
      <c r="AB139" s="9"/>
      <c r="AC139" s="7"/>
      <c r="AD139" s="7"/>
      <c r="AE139" s="7"/>
      <c r="AF139" s="7"/>
      <c r="AG139" s="9"/>
      <c r="AH139" s="9"/>
      <c r="AI139" s="9"/>
      <c r="AJ139" s="9"/>
      <c r="AK139" s="9"/>
      <c r="AL139" s="7"/>
      <c r="AM139" s="8"/>
      <c r="AN139" s="7"/>
      <c r="AO139" s="7"/>
      <c r="AP139" s="9"/>
      <c r="AQ139" s="9"/>
      <c r="AR139" s="9"/>
      <c r="AS139" s="9"/>
      <c r="AT139" s="9"/>
      <c r="AU139" s="7"/>
      <c r="AV139" s="8"/>
    </row>
    <row r="140" spans="1:48" s="2" customFormat="1" ht="73.5" customHeight="1" x14ac:dyDescent="0.25">
      <c r="A140" s="19">
        <v>117</v>
      </c>
      <c r="B140" s="156">
        <v>1</v>
      </c>
      <c r="C140" s="166"/>
      <c r="D140" s="184"/>
      <c r="E140" s="28" t="s">
        <v>353</v>
      </c>
      <c r="F140" s="28" t="s">
        <v>199</v>
      </c>
      <c r="G140" s="28" t="s">
        <v>75</v>
      </c>
      <c r="H140" s="19">
        <v>1959</v>
      </c>
      <c r="I140" s="19">
        <v>165.7</v>
      </c>
      <c r="J140" s="241" t="s">
        <v>9</v>
      </c>
      <c r="K140" s="242" t="s">
        <v>9</v>
      </c>
      <c r="L140" s="241">
        <v>2027</v>
      </c>
      <c r="M140" s="24"/>
      <c r="N140" s="24"/>
      <c r="O140" s="9"/>
      <c r="P140" s="230"/>
      <c r="Q140" s="229" t="s">
        <v>417</v>
      </c>
      <c r="R140" s="153"/>
      <c r="S140" s="9"/>
      <c r="T140" s="7"/>
      <c r="U140" s="7"/>
      <c r="V140" s="7"/>
      <c r="W140" s="7"/>
      <c r="X140" s="9"/>
      <c r="Y140" s="9"/>
      <c r="Z140" s="9"/>
      <c r="AA140" s="9"/>
      <c r="AB140" s="9"/>
      <c r="AC140" s="7"/>
      <c r="AD140" s="7"/>
      <c r="AE140" s="7"/>
      <c r="AF140" s="7"/>
      <c r="AG140" s="9"/>
      <c r="AH140" s="9"/>
      <c r="AI140" s="9"/>
      <c r="AJ140" s="9"/>
      <c r="AK140" s="9"/>
      <c r="AL140" s="7"/>
      <c r="AM140" s="8"/>
      <c r="AN140" s="7"/>
      <c r="AO140" s="7"/>
      <c r="AP140" s="9"/>
      <c r="AQ140" s="9"/>
      <c r="AR140" s="9"/>
      <c r="AS140" s="9"/>
      <c r="AT140" s="9"/>
      <c r="AU140" s="7"/>
      <c r="AV140" s="8"/>
    </row>
    <row r="141" spans="1:48" s="2" customFormat="1" ht="71.25" customHeight="1" x14ac:dyDescent="0.25">
      <c r="A141" s="19">
        <f t="shared" si="3"/>
        <v>118</v>
      </c>
      <c r="B141" s="156">
        <v>1</v>
      </c>
      <c r="C141" s="166"/>
      <c r="D141" s="184"/>
      <c r="E141" s="28" t="s">
        <v>349</v>
      </c>
      <c r="F141" s="28" t="s">
        <v>200</v>
      </c>
      <c r="G141" s="28" t="s">
        <v>75</v>
      </c>
      <c r="H141" s="19">
        <v>1975</v>
      </c>
      <c r="I141" s="19">
        <v>1512</v>
      </c>
      <c r="J141" s="241" t="s">
        <v>9</v>
      </c>
      <c r="K141" s="242" t="s">
        <v>9</v>
      </c>
      <c r="L141" s="241">
        <v>2026</v>
      </c>
      <c r="M141" s="24"/>
      <c r="N141" s="24"/>
      <c r="O141" s="9"/>
      <c r="P141" s="230"/>
      <c r="Q141" s="229" t="s">
        <v>417</v>
      </c>
      <c r="R141" s="153"/>
      <c r="S141" s="9"/>
      <c r="T141" s="7"/>
      <c r="U141" s="7"/>
      <c r="V141" s="7"/>
      <c r="W141" s="7"/>
      <c r="X141" s="9"/>
      <c r="Y141" s="9"/>
      <c r="Z141" s="9"/>
      <c r="AA141" s="9"/>
      <c r="AB141" s="9"/>
      <c r="AC141" s="7"/>
      <c r="AD141" s="7"/>
      <c r="AE141" s="7"/>
      <c r="AF141" s="7"/>
      <c r="AG141" s="9"/>
      <c r="AH141" s="9"/>
      <c r="AI141" s="9"/>
      <c r="AJ141" s="9"/>
      <c r="AK141" s="9"/>
      <c r="AL141" s="7"/>
      <c r="AM141" s="8"/>
      <c r="AN141" s="7"/>
      <c r="AO141" s="7"/>
      <c r="AP141" s="9"/>
      <c r="AQ141" s="9"/>
      <c r="AR141" s="9"/>
      <c r="AS141" s="9"/>
      <c r="AT141" s="9"/>
      <c r="AU141" s="7"/>
      <c r="AV141" s="8"/>
    </row>
    <row r="142" spans="1:48" s="2" customFormat="1" ht="76.5" customHeight="1" x14ac:dyDescent="0.25">
      <c r="A142" s="19">
        <f t="shared" si="3"/>
        <v>119</v>
      </c>
      <c r="B142" s="156">
        <v>1</v>
      </c>
      <c r="C142" s="166"/>
      <c r="D142" s="184"/>
      <c r="E142" s="28" t="s">
        <v>326</v>
      </c>
      <c r="F142" s="28" t="s">
        <v>200</v>
      </c>
      <c r="G142" s="28" t="s">
        <v>62</v>
      </c>
      <c r="H142" s="19">
        <v>1975</v>
      </c>
      <c r="I142" s="19">
        <v>542</v>
      </c>
      <c r="J142" s="241" t="s">
        <v>9</v>
      </c>
      <c r="K142" s="242" t="s">
        <v>9</v>
      </c>
      <c r="L142" s="241">
        <v>2026</v>
      </c>
      <c r="M142" s="24"/>
      <c r="N142" s="24"/>
      <c r="O142" s="9"/>
      <c r="P142" s="230"/>
      <c r="Q142" s="229" t="s">
        <v>417</v>
      </c>
      <c r="R142" s="153"/>
      <c r="S142" s="9"/>
      <c r="T142" s="7"/>
      <c r="U142" s="7"/>
      <c r="V142" s="7"/>
      <c r="W142" s="7"/>
      <c r="X142" s="9"/>
      <c r="Y142" s="9"/>
      <c r="Z142" s="9"/>
      <c r="AA142" s="9"/>
      <c r="AB142" s="9"/>
      <c r="AC142" s="7"/>
      <c r="AD142" s="7"/>
      <c r="AE142" s="7"/>
      <c r="AF142" s="7"/>
      <c r="AG142" s="9"/>
      <c r="AH142" s="9"/>
      <c r="AI142" s="9"/>
      <c r="AJ142" s="9"/>
      <c r="AK142" s="9"/>
      <c r="AL142" s="7"/>
      <c r="AM142" s="8"/>
      <c r="AN142" s="7"/>
      <c r="AO142" s="7"/>
      <c r="AP142" s="9"/>
      <c r="AQ142" s="9"/>
      <c r="AR142" s="9"/>
      <c r="AS142" s="9"/>
      <c r="AT142" s="9"/>
      <c r="AU142" s="7"/>
      <c r="AV142" s="8"/>
    </row>
    <row r="143" spans="1:48" s="2" customFormat="1" ht="62.25" customHeight="1" x14ac:dyDescent="0.25">
      <c r="A143" s="19">
        <f t="shared" si="3"/>
        <v>120</v>
      </c>
      <c r="B143" s="156">
        <v>1</v>
      </c>
      <c r="C143" s="166"/>
      <c r="D143" s="184"/>
      <c r="E143" s="28" t="s">
        <v>327</v>
      </c>
      <c r="F143" s="28" t="s">
        <v>200</v>
      </c>
      <c r="G143" s="28" t="s">
        <v>63</v>
      </c>
      <c r="H143" s="19">
        <v>1957</v>
      </c>
      <c r="I143" s="19">
        <v>288</v>
      </c>
      <c r="J143" s="241" t="s">
        <v>9</v>
      </c>
      <c r="K143" s="242" t="s">
        <v>9</v>
      </c>
      <c r="L143" s="241">
        <v>2026</v>
      </c>
      <c r="M143" s="24"/>
      <c r="N143" s="24"/>
      <c r="O143" s="9"/>
      <c r="P143" s="230"/>
      <c r="Q143" s="229" t="s">
        <v>417</v>
      </c>
      <c r="R143" s="153"/>
      <c r="S143" s="9"/>
      <c r="T143" s="7"/>
      <c r="U143" s="7"/>
      <c r="V143" s="7"/>
      <c r="W143" s="7"/>
      <c r="X143" s="9"/>
      <c r="Y143" s="9"/>
      <c r="Z143" s="9"/>
      <c r="AA143" s="9"/>
      <c r="AB143" s="9"/>
      <c r="AC143" s="7"/>
      <c r="AD143" s="7"/>
      <c r="AE143" s="7"/>
      <c r="AF143" s="7"/>
      <c r="AG143" s="9"/>
      <c r="AH143" s="9"/>
      <c r="AI143" s="9"/>
      <c r="AJ143" s="9"/>
      <c r="AK143" s="9"/>
      <c r="AL143" s="7"/>
      <c r="AM143" s="8"/>
      <c r="AN143" s="7"/>
      <c r="AO143" s="7"/>
      <c r="AP143" s="9"/>
      <c r="AQ143" s="9"/>
      <c r="AR143" s="9"/>
      <c r="AS143" s="9"/>
      <c r="AT143" s="9"/>
      <c r="AU143" s="7"/>
      <c r="AV143" s="8"/>
    </row>
    <row r="144" spans="1:48" s="2" customFormat="1" ht="67.5" customHeight="1" x14ac:dyDescent="0.25">
      <c r="A144" s="19">
        <f t="shared" si="3"/>
        <v>121</v>
      </c>
      <c r="B144" s="156">
        <v>1</v>
      </c>
      <c r="C144" s="166"/>
      <c r="D144" s="184"/>
      <c r="E144" s="28" t="s">
        <v>350</v>
      </c>
      <c r="F144" s="28" t="s">
        <v>200</v>
      </c>
      <c r="G144" s="28" t="s">
        <v>32</v>
      </c>
      <c r="H144" s="19">
        <v>1964</v>
      </c>
      <c r="I144" s="19">
        <v>124</v>
      </c>
      <c r="J144" s="241" t="s">
        <v>9</v>
      </c>
      <c r="K144" s="242" t="s">
        <v>9</v>
      </c>
      <c r="L144" s="241">
        <v>2026</v>
      </c>
      <c r="M144" s="24"/>
      <c r="N144" s="24"/>
      <c r="O144" s="9"/>
      <c r="P144" s="230"/>
      <c r="Q144" s="229" t="s">
        <v>417</v>
      </c>
      <c r="R144" s="153"/>
      <c r="S144" s="9"/>
      <c r="T144" s="7"/>
      <c r="U144" s="7"/>
      <c r="V144" s="7"/>
      <c r="W144" s="7"/>
      <c r="X144" s="9"/>
      <c r="Y144" s="9"/>
      <c r="Z144" s="9"/>
      <c r="AA144" s="9"/>
      <c r="AB144" s="9"/>
      <c r="AC144" s="7"/>
      <c r="AD144" s="7"/>
      <c r="AE144" s="7"/>
      <c r="AF144" s="7"/>
      <c r="AG144" s="9"/>
      <c r="AH144" s="9"/>
      <c r="AI144" s="9"/>
      <c r="AJ144" s="9"/>
      <c r="AK144" s="9"/>
      <c r="AL144" s="7"/>
      <c r="AM144" s="8"/>
      <c r="AN144" s="7"/>
      <c r="AO144" s="7"/>
      <c r="AP144" s="9"/>
      <c r="AQ144" s="9"/>
      <c r="AR144" s="9"/>
      <c r="AS144" s="9"/>
      <c r="AT144" s="9"/>
      <c r="AU144" s="7"/>
      <c r="AV144" s="8"/>
    </row>
    <row r="145" spans="1:48" s="2" customFormat="1" ht="68.25" customHeight="1" x14ac:dyDescent="0.25">
      <c r="A145" s="19">
        <f t="shared" si="3"/>
        <v>122</v>
      </c>
      <c r="B145" s="156">
        <v>1</v>
      </c>
      <c r="C145" s="166"/>
      <c r="D145" s="184"/>
      <c r="E145" s="28" t="s">
        <v>328</v>
      </c>
      <c r="F145" s="28" t="s">
        <v>201</v>
      </c>
      <c r="G145" s="28" t="s">
        <v>287</v>
      </c>
      <c r="H145" s="19">
        <v>1970</v>
      </c>
      <c r="I145" s="19">
        <v>810</v>
      </c>
      <c r="J145" s="241" t="s">
        <v>9</v>
      </c>
      <c r="K145" s="242" t="s">
        <v>9</v>
      </c>
      <c r="L145" s="241">
        <v>2030</v>
      </c>
      <c r="M145" s="24"/>
      <c r="N145" s="24"/>
      <c r="O145" s="9"/>
      <c r="P145" s="230"/>
      <c r="Q145" s="229" t="s">
        <v>417</v>
      </c>
      <c r="R145" s="153"/>
      <c r="S145" s="9"/>
      <c r="T145" s="7"/>
      <c r="U145" s="7"/>
      <c r="V145" s="7"/>
      <c r="W145" s="7"/>
      <c r="X145" s="9"/>
      <c r="Y145" s="9"/>
      <c r="Z145" s="9"/>
      <c r="AA145" s="9"/>
      <c r="AB145" s="9"/>
      <c r="AC145" s="7"/>
      <c r="AD145" s="7"/>
      <c r="AE145" s="7"/>
      <c r="AF145" s="7"/>
      <c r="AG145" s="9"/>
      <c r="AH145" s="9"/>
      <c r="AI145" s="9"/>
      <c r="AJ145" s="9"/>
      <c r="AK145" s="9"/>
      <c r="AL145" s="7"/>
      <c r="AM145" s="8"/>
      <c r="AN145" s="7"/>
      <c r="AO145" s="7"/>
      <c r="AP145" s="9"/>
      <c r="AQ145" s="9"/>
      <c r="AR145" s="9"/>
      <c r="AS145" s="9"/>
      <c r="AT145" s="9"/>
      <c r="AU145" s="7"/>
      <c r="AV145" s="8"/>
    </row>
    <row r="146" spans="1:48" s="2" customFormat="1" ht="66" customHeight="1" x14ac:dyDescent="0.25">
      <c r="A146" s="19">
        <f t="shared" si="3"/>
        <v>123</v>
      </c>
      <c r="B146" s="156">
        <v>1</v>
      </c>
      <c r="C146" s="166"/>
      <c r="D146" s="184"/>
      <c r="E146" s="28" t="s">
        <v>329</v>
      </c>
      <c r="F146" s="28" t="s">
        <v>202</v>
      </c>
      <c r="G146" s="28" t="s">
        <v>32</v>
      </c>
      <c r="H146" s="19">
        <v>1946</v>
      </c>
      <c r="I146" s="19">
        <v>124</v>
      </c>
      <c r="J146" s="241" t="s">
        <v>9</v>
      </c>
      <c r="K146" s="242" t="s">
        <v>9</v>
      </c>
      <c r="L146" s="241">
        <v>2030</v>
      </c>
      <c r="M146" s="24"/>
      <c r="N146" s="24"/>
      <c r="O146" s="9"/>
      <c r="P146" s="230"/>
      <c r="Q146" s="229" t="s">
        <v>417</v>
      </c>
      <c r="R146" s="153"/>
      <c r="S146" s="9"/>
      <c r="T146" s="7"/>
      <c r="U146" s="7"/>
      <c r="V146" s="7"/>
      <c r="W146" s="7"/>
      <c r="X146" s="9"/>
      <c r="Y146" s="9"/>
      <c r="Z146" s="9"/>
      <c r="AA146" s="9"/>
      <c r="AB146" s="9"/>
      <c r="AC146" s="7"/>
      <c r="AD146" s="7"/>
      <c r="AE146" s="7"/>
      <c r="AF146" s="7"/>
      <c r="AG146" s="9"/>
      <c r="AH146" s="9"/>
      <c r="AI146" s="9"/>
      <c r="AJ146" s="9"/>
      <c r="AK146" s="9"/>
      <c r="AL146" s="7"/>
      <c r="AM146" s="8"/>
      <c r="AN146" s="7"/>
      <c r="AO146" s="7"/>
      <c r="AP146" s="9"/>
      <c r="AQ146" s="9"/>
      <c r="AR146" s="9"/>
      <c r="AS146" s="9"/>
      <c r="AT146" s="9"/>
      <c r="AU146" s="7"/>
      <c r="AV146" s="8"/>
    </row>
    <row r="147" spans="1:48" s="2" customFormat="1" ht="63.75" customHeight="1" x14ac:dyDescent="0.25">
      <c r="A147" s="19">
        <f t="shared" si="3"/>
        <v>124</v>
      </c>
      <c r="B147" s="156">
        <v>1</v>
      </c>
      <c r="C147" s="166"/>
      <c r="D147" s="184"/>
      <c r="E147" s="28" t="s">
        <v>330</v>
      </c>
      <c r="F147" s="28" t="s">
        <v>518</v>
      </c>
      <c r="G147" s="28" t="s">
        <v>287</v>
      </c>
      <c r="H147" s="19">
        <v>1949</v>
      </c>
      <c r="I147" s="19">
        <v>152</v>
      </c>
      <c r="J147" s="241" t="s">
        <v>61</v>
      </c>
      <c r="K147" s="242" t="s">
        <v>61</v>
      </c>
      <c r="L147" s="241">
        <v>2030</v>
      </c>
      <c r="M147" s="24"/>
      <c r="N147" s="24"/>
      <c r="O147" s="9"/>
      <c r="P147" s="230"/>
      <c r="Q147" s="229" t="s">
        <v>417</v>
      </c>
      <c r="R147" s="153"/>
      <c r="S147" s="9"/>
      <c r="T147" s="7"/>
      <c r="U147" s="7"/>
      <c r="V147" s="7"/>
      <c r="W147" s="7"/>
      <c r="X147" s="9"/>
      <c r="Y147" s="9"/>
      <c r="Z147" s="9"/>
      <c r="AA147" s="9"/>
      <c r="AB147" s="9"/>
      <c r="AC147" s="7"/>
      <c r="AD147" s="7"/>
      <c r="AE147" s="7"/>
      <c r="AF147" s="7"/>
      <c r="AG147" s="9"/>
      <c r="AH147" s="9"/>
      <c r="AI147" s="9"/>
      <c r="AJ147" s="9"/>
      <c r="AK147" s="9"/>
      <c r="AL147" s="7"/>
      <c r="AM147" s="8"/>
      <c r="AN147" s="7"/>
      <c r="AO147" s="7"/>
      <c r="AP147" s="9"/>
      <c r="AQ147" s="9"/>
      <c r="AR147" s="9"/>
      <c r="AS147" s="9"/>
      <c r="AT147" s="9"/>
      <c r="AU147" s="7"/>
      <c r="AV147" s="8"/>
    </row>
    <row r="148" spans="1:48" s="2" customFormat="1" ht="69" customHeight="1" x14ac:dyDescent="0.25">
      <c r="A148" s="19">
        <f t="shared" si="3"/>
        <v>125</v>
      </c>
      <c r="B148" s="156">
        <v>1</v>
      </c>
      <c r="C148" s="166"/>
      <c r="D148" s="184"/>
      <c r="E148" s="28" t="s">
        <v>354</v>
      </c>
      <c r="F148" s="28" t="s">
        <v>519</v>
      </c>
      <c r="G148" s="28" t="s">
        <v>287</v>
      </c>
      <c r="H148" s="19">
        <v>1956</v>
      </c>
      <c r="I148" s="19">
        <v>158</v>
      </c>
      <c r="J148" s="241" t="s">
        <v>9</v>
      </c>
      <c r="K148" s="242" t="s">
        <v>9</v>
      </c>
      <c r="L148" s="241">
        <v>2026</v>
      </c>
      <c r="M148" s="24"/>
      <c r="N148" s="24"/>
      <c r="O148" s="9"/>
      <c r="P148" s="230"/>
      <c r="Q148" s="229" t="s">
        <v>417</v>
      </c>
      <c r="R148" s="153"/>
      <c r="S148" s="9"/>
      <c r="T148" s="7"/>
      <c r="U148" s="7"/>
      <c r="V148" s="7"/>
      <c r="W148" s="7"/>
      <c r="X148" s="9"/>
      <c r="Y148" s="9"/>
      <c r="Z148" s="9"/>
      <c r="AA148" s="9"/>
      <c r="AB148" s="9"/>
      <c r="AC148" s="7"/>
      <c r="AD148" s="7"/>
      <c r="AE148" s="7"/>
      <c r="AF148" s="7"/>
      <c r="AG148" s="9"/>
      <c r="AH148" s="9"/>
      <c r="AI148" s="9"/>
      <c r="AJ148" s="9"/>
      <c r="AK148" s="9"/>
      <c r="AL148" s="7"/>
      <c r="AM148" s="8"/>
      <c r="AN148" s="7"/>
      <c r="AO148" s="7"/>
      <c r="AP148" s="9"/>
      <c r="AQ148" s="9"/>
      <c r="AR148" s="9"/>
      <c r="AS148" s="9"/>
      <c r="AT148" s="9"/>
      <c r="AU148" s="7"/>
      <c r="AV148" s="8"/>
    </row>
    <row r="149" spans="1:48" s="2" customFormat="1" ht="65.25" customHeight="1" x14ac:dyDescent="0.25">
      <c r="A149" s="19">
        <f t="shared" si="3"/>
        <v>126</v>
      </c>
      <c r="B149" s="156">
        <v>1</v>
      </c>
      <c r="C149" s="166"/>
      <c r="D149" s="184"/>
      <c r="E149" s="28" t="s">
        <v>203</v>
      </c>
      <c r="F149" s="28" t="s">
        <v>520</v>
      </c>
      <c r="G149" s="28" t="s">
        <v>288</v>
      </c>
      <c r="H149" s="19">
        <v>1978</v>
      </c>
      <c r="I149" s="19">
        <v>411.2</v>
      </c>
      <c r="J149" s="241" t="s">
        <v>9</v>
      </c>
      <c r="K149" s="242" t="s">
        <v>9</v>
      </c>
      <c r="L149" s="241">
        <v>2026</v>
      </c>
      <c r="M149" s="24"/>
      <c r="N149" s="24"/>
      <c r="O149" s="9"/>
      <c r="P149" s="230"/>
      <c r="Q149" s="229" t="s">
        <v>417</v>
      </c>
      <c r="R149" s="153"/>
      <c r="S149" s="9"/>
      <c r="T149" s="7"/>
      <c r="U149" s="7"/>
      <c r="V149" s="7"/>
      <c r="W149" s="7"/>
      <c r="X149" s="9"/>
      <c r="Y149" s="9"/>
      <c r="Z149" s="9"/>
      <c r="AA149" s="9"/>
      <c r="AB149" s="9"/>
      <c r="AC149" s="7"/>
      <c r="AD149" s="7"/>
      <c r="AE149" s="7"/>
      <c r="AF149" s="7"/>
      <c r="AG149" s="9"/>
      <c r="AH149" s="9"/>
      <c r="AI149" s="9"/>
      <c r="AJ149" s="9"/>
      <c r="AK149" s="9"/>
      <c r="AL149" s="7"/>
      <c r="AM149" s="8"/>
      <c r="AN149" s="7"/>
      <c r="AO149" s="7"/>
      <c r="AP149" s="9"/>
      <c r="AQ149" s="9"/>
      <c r="AR149" s="9"/>
      <c r="AS149" s="9"/>
      <c r="AT149" s="9"/>
      <c r="AU149" s="7"/>
      <c r="AV149" s="8"/>
    </row>
    <row r="150" spans="1:48" s="2" customFormat="1" ht="59.25" customHeight="1" x14ac:dyDescent="0.25">
      <c r="A150" s="19">
        <f t="shared" si="3"/>
        <v>127</v>
      </c>
      <c r="B150" s="156">
        <v>1</v>
      </c>
      <c r="C150" s="166"/>
      <c r="D150" s="184"/>
      <c r="E150" s="28" t="s">
        <v>331</v>
      </c>
      <c r="F150" s="28" t="s">
        <v>204</v>
      </c>
      <c r="G150" s="28" t="s">
        <v>288</v>
      </c>
      <c r="H150" s="19">
        <v>1996</v>
      </c>
      <c r="I150" s="19">
        <v>168.2</v>
      </c>
      <c r="J150" s="241" t="s">
        <v>9</v>
      </c>
      <c r="K150" s="242" t="s">
        <v>9</v>
      </c>
      <c r="L150" s="241">
        <v>2026</v>
      </c>
      <c r="M150" s="24"/>
      <c r="N150" s="24"/>
      <c r="O150" s="9"/>
      <c r="P150" s="230"/>
      <c r="Q150" s="229" t="s">
        <v>417</v>
      </c>
      <c r="R150" s="153"/>
      <c r="S150" s="9"/>
      <c r="T150" s="7"/>
      <c r="U150" s="7"/>
      <c r="V150" s="7"/>
      <c r="W150" s="7"/>
      <c r="X150" s="9"/>
      <c r="Y150" s="9"/>
      <c r="Z150" s="9"/>
      <c r="AA150" s="9"/>
      <c r="AB150" s="9"/>
      <c r="AC150" s="7"/>
      <c r="AD150" s="7"/>
      <c r="AE150" s="7"/>
      <c r="AF150" s="7"/>
      <c r="AG150" s="9"/>
      <c r="AH150" s="9"/>
      <c r="AI150" s="9"/>
      <c r="AJ150" s="9"/>
      <c r="AK150" s="9"/>
      <c r="AL150" s="7"/>
      <c r="AM150" s="8"/>
      <c r="AN150" s="7"/>
      <c r="AO150" s="7"/>
      <c r="AP150" s="9"/>
      <c r="AQ150" s="9"/>
      <c r="AR150" s="9"/>
      <c r="AS150" s="9"/>
      <c r="AT150" s="9"/>
      <c r="AU150" s="7"/>
      <c r="AV150" s="8"/>
    </row>
    <row r="151" spans="1:48" s="2" customFormat="1" ht="59.25" customHeight="1" x14ac:dyDescent="0.25">
      <c r="A151" s="19">
        <f t="shared" si="3"/>
        <v>128</v>
      </c>
      <c r="B151" s="156">
        <v>1</v>
      </c>
      <c r="C151" s="166"/>
      <c r="D151" s="184"/>
      <c r="E151" s="28" t="s">
        <v>500</v>
      </c>
      <c r="F151" s="28" t="s">
        <v>205</v>
      </c>
      <c r="G151" s="28" t="s">
        <v>287</v>
      </c>
      <c r="H151" s="19">
        <v>1965</v>
      </c>
      <c r="I151" s="19">
        <v>210</v>
      </c>
      <c r="J151" s="241" t="s">
        <v>9</v>
      </c>
      <c r="K151" s="242" t="s">
        <v>9</v>
      </c>
      <c r="L151" s="241">
        <v>2026</v>
      </c>
      <c r="M151" s="24"/>
      <c r="N151" s="24"/>
      <c r="O151" s="9"/>
      <c r="P151" s="230"/>
      <c r="Q151" s="229" t="s">
        <v>417</v>
      </c>
      <c r="R151" s="153"/>
      <c r="S151" s="9"/>
      <c r="T151" s="7"/>
      <c r="U151" s="7"/>
      <c r="V151" s="7"/>
      <c r="W151" s="7"/>
      <c r="X151" s="9"/>
      <c r="Y151" s="9"/>
      <c r="Z151" s="9"/>
      <c r="AA151" s="9"/>
      <c r="AB151" s="9"/>
      <c r="AC151" s="7"/>
      <c r="AD151" s="7"/>
      <c r="AE151" s="7"/>
      <c r="AF151" s="7"/>
      <c r="AG151" s="9"/>
      <c r="AH151" s="9"/>
      <c r="AI151" s="9"/>
      <c r="AJ151" s="9"/>
      <c r="AK151" s="9"/>
      <c r="AL151" s="7"/>
      <c r="AM151" s="8"/>
      <c r="AN151" s="7"/>
      <c r="AO151" s="7"/>
      <c r="AP151" s="9"/>
      <c r="AQ151" s="9"/>
      <c r="AR151" s="9"/>
      <c r="AS151" s="9"/>
      <c r="AT151" s="9"/>
      <c r="AU151" s="7"/>
      <c r="AV151" s="8"/>
    </row>
    <row r="152" spans="1:48" s="2" customFormat="1" ht="66" hidden="1" customHeight="1" x14ac:dyDescent="0.25">
      <c r="A152" s="19"/>
      <c r="B152" s="156">
        <v>1</v>
      </c>
      <c r="C152" s="166"/>
      <c r="D152" s="184"/>
      <c r="E152" s="290" t="s">
        <v>206</v>
      </c>
      <c r="F152" s="294" t="s">
        <v>207</v>
      </c>
      <c r="G152" s="290" t="s">
        <v>287</v>
      </c>
      <c r="H152" s="291">
        <v>1997</v>
      </c>
      <c r="I152" s="291">
        <v>82</v>
      </c>
      <c r="J152" s="292" t="s">
        <v>9</v>
      </c>
      <c r="K152" s="292" t="s">
        <v>9</v>
      </c>
      <c r="L152" s="292">
        <v>2026</v>
      </c>
      <c r="M152" s="293"/>
      <c r="N152" s="295" t="s">
        <v>523</v>
      </c>
      <c r="O152" s="9"/>
      <c r="P152" s="230"/>
      <c r="Q152" s="229" t="s">
        <v>417</v>
      </c>
      <c r="R152" s="153"/>
      <c r="S152" s="9"/>
      <c r="T152" s="7"/>
      <c r="U152" s="7"/>
      <c r="V152" s="7"/>
      <c r="W152" s="7"/>
      <c r="X152" s="9"/>
      <c r="Y152" s="9"/>
      <c r="Z152" s="9"/>
      <c r="AA152" s="9"/>
      <c r="AB152" s="9"/>
      <c r="AC152" s="7"/>
      <c r="AD152" s="7"/>
      <c r="AE152" s="7"/>
      <c r="AF152" s="7"/>
      <c r="AG152" s="9"/>
      <c r="AH152" s="9"/>
      <c r="AI152" s="9"/>
      <c r="AJ152" s="9"/>
      <c r="AK152" s="9"/>
      <c r="AL152" s="7"/>
      <c r="AM152" s="8"/>
      <c r="AN152" s="7"/>
      <c r="AO152" s="7"/>
      <c r="AP152" s="9"/>
      <c r="AQ152" s="9"/>
      <c r="AR152" s="9"/>
      <c r="AS152" s="9"/>
      <c r="AT152" s="9"/>
      <c r="AU152" s="7"/>
      <c r="AV152" s="8"/>
    </row>
    <row r="153" spans="1:48" s="2" customFormat="1" ht="82.5" hidden="1" customHeight="1" x14ac:dyDescent="0.25">
      <c r="A153" s="19"/>
      <c r="B153" s="156">
        <v>1</v>
      </c>
      <c r="C153" s="166"/>
      <c r="D153" s="184"/>
      <c r="E153" s="300" t="s">
        <v>208</v>
      </c>
      <c r="F153" s="294" t="s">
        <v>209</v>
      </c>
      <c r="G153" s="301" t="s">
        <v>287</v>
      </c>
      <c r="H153" s="291">
        <v>1977</v>
      </c>
      <c r="I153" s="291">
        <v>158</v>
      </c>
      <c r="J153" s="292" t="s">
        <v>9</v>
      </c>
      <c r="K153" s="292" t="s">
        <v>9</v>
      </c>
      <c r="L153" s="292">
        <v>2029</v>
      </c>
      <c r="M153" s="293"/>
      <c r="N153" s="295" t="s">
        <v>531</v>
      </c>
      <c r="O153" s="9"/>
      <c r="P153" s="230"/>
      <c r="Q153" s="229" t="s">
        <v>417</v>
      </c>
      <c r="R153" s="153"/>
      <c r="S153" s="9"/>
      <c r="T153" s="7"/>
      <c r="U153" s="7"/>
      <c r="V153" s="7"/>
      <c r="W153" s="7"/>
      <c r="X153" s="9"/>
      <c r="Y153" s="9"/>
      <c r="Z153" s="9"/>
      <c r="AA153" s="9"/>
      <c r="AB153" s="9"/>
      <c r="AC153" s="7"/>
      <c r="AD153" s="7"/>
      <c r="AE153" s="7"/>
      <c r="AF153" s="7"/>
      <c r="AG153" s="9"/>
      <c r="AH153" s="9"/>
      <c r="AI153" s="9"/>
      <c r="AJ153" s="9"/>
      <c r="AK153" s="9"/>
      <c r="AL153" s="7"/>
      <c r="AM153" s="8"/>
      <c r="AN153" s="7"/>
      <c r="AO153" s="7"/>
      <c r="AP153" s="9"/>
      <c r="AQ153" s="9"/>
      <c r="AR153" s="9"/>
      <c r="AS153" s="9"/>
      <c r="AT153" s="9"/>
      <c r="AU153" s="7"/>
      <c r="AV153" s="8"/>
    </row>
    <row r="154" spans="1:48" s="2" customFormat="1" ht="82.5" hidden="1" customHeight="1" x14ac:dyDescent="0.25">
      <c r="A154" s="19"/>
      <c r="B154" s="156">
        <v>1</v>
      </c>
      <c r="C154" s="166"/>
      <c r="D154" s="184"/>
      <c r="E154" s="276" t="s">
        <v>36</v>
      </c>
      <c r="F154" s="214"/>
      <c r="G154" s="213" t="s">
        <v>75</v>
      </c>
      <c r="H154" s="19">
        <v>1977</v>
      </c>
      <c r="I154" s="19">
        <v>25</v>
      </c>
      <c r="J154" s="241" t="s">
        <v>9</v>
      </c>
      <c r="K154" s="242" t="s">
        <v>9</v>
      </c>
      <c r="L154" s="241">
        <v>2029</v>
      </c>
      <c r="M154" s="24"/>
      <c r="N154" s="24"/>
      <c r="O154" s="9"/>
      <c r="P154" s="230"/>
      <c r="Q154" s="229" t="s">
        <v>417</v>
      </c>
      <c r="R154" s="153"/>
      <c r="S154" s="9" t="s">
        <v>522</v>
      </c>
      <c r="T154" s="7"/>
      <c r="U154" s="7"/>
      <c r="V154" s="7"/>
      <c r="W154" s="7"/>
      <c r="X154" s="9"/>
      <c r="Y154" s="9"/>
      <c r="Z154" s="9"/>
      <c r="AA154" s="9"/>
      <c r="AB154" s="9"/>
      <c r="AC154" s="7"/>
      <c r="AD154" s="7"/>
      <c r="AE154" s="7"/>
      <c r="AF154" s="7"/>
      <c r="AG154" s="9"/>
      <c r="AH154" s="9"/>
      <c r="AI154" s="9"/>
      <c r="AJ154" s="9"/>
      <c r="AK154" s="9"/>
      <c r="AL154" s="7"/>
      <c r="AM154" s="8"/>
      <c r="AN154" s="7"/>
      <c r="AO154" s="7"/>
      <c r="AP154" s="9"/>
      <c r="AQ154" s="9"/>
      <c r="AR154" s="9"/>
      <c r="AS154" s="9"/>
      <c r="AT154" s="9"/>
      <c r="AU154" s="7"/>
      <c r="AV154" s="8"/>
    </row>
    <row r="155" spans="1:48" s="2" customFormat="1" ht="60" customHeight="1" x14ac:dyDescent="0.25">
      <c r="A155" s="19">
        <v>129</v>
      </c>
      <c r="B155" s="156">
        <v>1</v>
      </c>
      <c r="C155" s="166"/>
      <c r="D155" s="184"/>
      <c r="E155" s="28" t="s">
        <v>536</v>
      </c>
      <c r="F155" s="214" t="s">
        <v>513</v>
      </c>
      <c r="G155" s="28" t="s">
        <v>287</v>
      </c>
      <c r="H155" s="19">
        <v>1966</v>
      </c>
      <c r="I155" s="19">
        <v>106</v>
      </c>
      <c r="J155" s="241" t="s">
        <v>9</v>
      </c>
      <c r="K155" s="242" t="s">
        <v>9</v>
      </c>
      <c r="L155" s="241">
        <v>2026</v>
      </c>
      <c r="M155" s="24" t="s">
        <v>479</v>
      </c>
      <c r="N155" s="24"/>
      <c r="O155" s="9"/>
      <c r="P155" s="230"/>
      <c r="Q155" s="229" t="s">
        <v>417</v>
      </c>
      <c r="R155" s="153"/>
      <c r="S155" s="9"/>
      <c r="T155" s="7"/>
      <c r="U155" s="7"/>
      <c r="V155" s="7"/>
      <c r="W155" s="7"/>
      <c r="X155" s="9"/>
      <c r="Y155" s="9"/>
      <c r="Z155" s="9"/>
      <c r="AA155" s="9"/>
      <c r="AB155" s="9"/>
      <c r="AC155" s="7"/>
      <c r="AD155" s="7"/>
      <c r="AE155" s="7"/>
      <c r="AF155" s="7"/>
      <c r="AG155" s="9"/>
      <c r="AH155" s="9"/>
      <c r="AI155" s="9"/>
      <c r="AJ155" s="9"/>
      <c r="AK155" s="9"/>
      <c r="AL155" s="7"/>
      <c r="AM155" s="8"/>
      <c r="AN155" s="7"/>
      <c r="AO155" s="7"/>
      <c r="AP155" s="9"/>
      <c r="AQ155" s="9"/>
      <c r="AR155" s="9"/>
      <c r="AS155" s="9"/>
      <c r="AT155" s="9"/>
      <c r="AU155" s="7"/>
      <c r="AV155" s="8"/>
    </row>
    <row r="156" spans="1:48" s="2" customFormat="1" ht="70.5" customHeight="1" x14ac:dyDescent="0.25">
      <c r="A156" s="19">
        <f t="shared" si="3"/>
        <v>130</v>
      </c>
      <c r="B156" s="156">
        <v>1</v>
      </c>
      <c r="C156" s="166"/>
      <c r="D156" s="184"/>
      <c r="E156" s="28" t="s">
        <v>210</v>
      </c>
      <c r="F156" s="28" t="s">
        <v>211</v>
      </c>
      <c r="G156" s="28" t="s">
        <v>287</v>
      </c>
      <c r="H156" s="19">
        <v>1959</v>
      </c>
      <c r="I156" s="19">
        <v>72</v>
      </c>
      <c r="J156" s="241" t="s">
        <v>9</v>
      </c>
      <c r="K156" s="242" t="s">
        <v>9</v>
      </c>
      <c r="L156" s="241">
        <v>2026</v>
      </c>
      <c r="M156" s="24"/>
      <c r="N156" s="24"/>
      <c r="O156" s="9"/>
      <c r="P156" s="230"/>
      <c r="Q156" s="229" t="s">
        <v>417</v>
      </c>
      <c r="R156" s="153"/>
      <c r="S156" s="9"/>
      <c r="T156" s="7"/>
      <c r="U156" s="7"/>
      <c r="V156" s="7"/>
      <c r="W156" s="7"/>
      <c r="X156" s="9"/>
      <c r="Y156" s="9"/>
      <c r="Z156" s="9"/>
      <c r="AA156" s="9"/>
      <c r="AB156" s="9"/>
      <c r="AC156" s="7"/>
      <c r="AD156" s="7"/>
      <c r="AE156" s="7"/>
      <c r="AF156" s="7"/>
      <c r="AG156" s="9"/>
      <c r="AH156" s="9"/>
      <c r="AI156" s="9"/>
      <c r="AJ156" s="9"/>
      <c r="AK156" s="9"/>
      <c r="AL156" s="7"/>
      <c r="AM156" s="8"/>
      <c r="AN156" s="7"/>
      <c r="AO156" s="7"/>
      <c r="AP156" s="9"/>
      <c r="AQ156" s="9"/>
      <c r="AR156" s="9"/>
      <c r="AS156" s="9"/>
      <c r="AT156" s="9"/>
      <c r="AU156" s="7"/>
      <c r="AV156" s="8"/>
    </row>
    <row r="157" spans="1:48" s="2" customFormat="1" ht="57.75" customHeight="1" x14ac:dyDescent="0.25">
      <c r="A157" s="19">
        <v>131</v>
      </c>
      <c r="B157" s="156">
        <v>1</v>
      </c>
      <c r="C157" s="166"/>
      <c r="D157" s="184"/>
      <c r="E157" s="28" t="s">
        <v>212</v>
      </c>
      <c r="F157" s="28" t="s">
        <v>521</v>
      </c>
      <c r="G157" s="28" t="s">
        <v>287</v>
      </c>
      <c r="H157" s="19">
        <v>1952</v>
      </c>
      <c r="I157" s="19">
        <v>54</v>
      </c>
      <c r="J157" s="241" t="s">
        <v>9</v>
      </c>
      <c r="K157" s="242" t="s">
        <v>9</v>
      </c>
      <c r="L157" s="241">
        <v>2026</v>
      </c>
      <c r="M157" s="24"/>
      <c r="N157" s="24"/>
      <c r="O157" s="9"/>
      <c r="P157" s="230"/>
      <c r="Q157" s="229" t="s">
        <v>417</v>
      </c>
      <c r="R157" s="153"/>
      <c r="S157" s="9"/>
      <c r="T157" s="7"/>
      <c r="U157" s="7"/>
      <c r="V157" s="7"/>
      <c r="W157" s="7"/>
      <c r="X157" s="9"/>
      <c r="Y157" s="9"/>
      <c r="Z157" s="9"/>
      <c r="AA157" s="9"/>
      <c r="AB157" s="9"/>
      <c r="AC157" s="7"/>
      <c r="AD157" s="7"/>
      <c r="AE157" s="7"/>
      <c r="AF157" s="7"/>
      <c r="AG157" s="9"/>
      <c r="AH157" s="9"/>
      <c r="AI157" s="9"/>
      <c r="AJ157" s="9"/>
      <c r="AK157" s="9"/>
      <c r="AL157" s="7"/>
      <c r="AM157" s="8"/>
      <c r="AN157" s="7"/>
      <c r="AO157" s="7"/>
      <c r="AP157" s="9"/>
      <c r="AQ157" s="9"/>
      <c r="AR157" s="9"/>
      <c r="AS157" s="9"/>
      <c r="AT157" s="9"/>
      <c r="AU157" s="7"/>
      <c r="AV157" s="8"/>
    </row>
    <row r="158" spans="1:48" s="2" customFormat="1" ht="57.6" customHeight="1" x14ac:dyDescent="0.25">
      <c r="A158" s="19">
        <f t="shared" si="3"/>
        <v>132</v>
      </c>
      <c r="B158" s="156">
        <v>1</v>
      </c>
      <c r="C158" s="166"/>
      <c r="D158" s="184"/>
      <c r="E158" s="28" t="s">
        <v>351</v>
      </c>
      <c r="F158" s="28" t="s">
        <v>332</v>
      </c>
      <c r="G158" s="28" t="s">
        <v>322</v>
      </c>
      <c r="H158" s="19">
        <v>1955</v>
      </c>
      <c r="I158" s="19">
        <v>151</v>
      </c>
      <c r="J158" s="241" t="s">
        <v>9</v>
      </c>
      <c r="K158" s="242" t="s">
        <v>9</v>
      </c>
      <c r="L158" s="241">
        <v>2026</v>
      </c>
      <c r="M158" s="24"/>
      <c r="N158" s="24"/>
      <c r="O158" s="9"/>
      <c r="P158" s="230"/>
      <c r="Q158" s="229" t="s">
        <v>417</v>
      </c>
      <c r="R158" s="153"/>
      <c r="S158" s="9"/>
      <c r="T158" s="7"/>
      <c r="U158" s="7"/>
      <c r="V158" s="7"/>
      <c r="W158" s="7"/>
      <c r="X158" s="9"/>
      <c r="Y158" s="9"/>
      <c r="Z158" s="9"/>
      <c r="AA158" s="9"/>
      <c r="AB158" s="9"/>
      <c r="AC158" s="7"/>
      <c r="AD158" s="7"/>
      <c r="AE158" s="7"/>
      <c r="AF158" s="7"/>
      <c r="AG158" s="9"/>
      <c r="AH158" s="9"/>
      <c r="AI158" s="9"/>
      <c r="AJ158" s="9"/>
      <c r="AK158" s="9"/>
      <c r="AL158" s="7"/>
      <c r="AM158" s="8"/>
      <c r="AN158" s="7"/>
      <c r="AO158" s="7"/>
      <c r="AP158" s="9"/>
      <c r="AQ158" s="9"/>
      <c r="AR158" s="9"/>
      <c r="AS158" s="9"/>
      <c r="AT158" s="9"/>
      <c r="AU158" s="7"/>
      <c r="AV158" s="8"/>
    </row>
    <row r="159" spans="1:48" s="2" customFormat="1" ht="60.75" customHeight="1" x14ac:dyDescent="0.25">
      <c r="A159" s="19">
        <f t="shared" si="3"/>
        <v>133</v>
      </c>
      <c r="B159" s="156">
        <v>1</v>
      </c>
      <c r="C159" s="166"/>
      <c r="D159" s="184"/>
      <c r="E159" s="28" t="s">
        <v>333</v>
      </c>
      <c r="F159" s="28" t="s">
        <v>213</v>
      </c>
      <c r="G159" s="28" t="s">
        <v>31</v>
      </c>
      <c r="H159" s="19" t="s">
        <v>64</v>
      </c>
      <c r="I159" s="19">
        <v>560</v>
      </c>
      <c r="J159" s="241" t="s">
        <v>9</v>
      </c>
      <c r="K159" s="242" t="s">
        <v>9</v>
      </c>
      <c r="L159" s="241">
        <v>2026</v>
      </c>
      <c r="M159" s="24"/>
      <c r="N159" s="24"/>
      <c r="O159" s="9"/>
      <c r="P159" s="230"/>
      <c r="Q159" s="229" t="s">
        <v>417</v>
      </c>
      <c r="R159" s="153"/>
      <c r="S159" s="9"/>
      <c r="T159" s="7"/>
      <c r="U159" s="7"/>
      <c r="V159" s="7"/>
      <c r="W159" s="7"/>
      <c r="X159" s="9"/>
      <c r="Y159" s="9"/>
      <c r="Z159" s="9"/>
      <c r="AA159" s="9"/>
      <c r="AB159" s="9"/>
      <c r="AC159" s="7"/>
      <c r="AD159" s="7"/>
      <c r="AE159" s="7"/>
      <c r="AF159" s="7"/>
      <c r="AG159" s="9"/>
      <c r="AH159" s="9"/>
      <c r="AI159" s="9"/>
      <c r="AJ159" s="9"/>
      <c r="AK159" s="9"/>
      <c r="AL159" s="7"/>
      <c r="AM159" s="8"/>
      <c r="AN159" s="7"/>
      <c r="AO159" s="7"/>
      <c r="AP159" s="9"/>
      <c r="AQ159" s="9"/>
      <c r="AR159" s="9"/>
      <c r="AS159" s="9"/>
      <c r="AT159" s="9"/>
      <c r="AU159" s="7"/>
      <c r="AV159" s="8"/>
    </row>
    <row r="160" spans="1:48" s="2" customFormat="1" ht="57" customHeight="1" x14ac:dyDescent="0.25">
      <c r="A160" s="19">
        <f t="shared" si="3"/>
        <v>134</v>
      </c>
      <c r="B160" s="156">
        <v>1</v>
      </c>
      <c r="C160" s="166"/>
      <c r="D160" s="184"/>
      <c r="E160" s="28" t="s">
        <v>334</v>
      </c>
      <c r="F160" s="28" t="s">
        <v>214</v>
      </c>
      <c r="G160" s="28" t="s">
        <v>65</v>
      </c>
      <c r="H160" s="19">
        <v>1997</v>
      </c>
      <c r="I160" s="19">
        <v>600</v>
      </c>
      <c r="J160" s="241" t="s">
        <v>61</v>
      </c>
      <c r="K160" s="242" t="s">
        <v>61</v>
      </c>
      <c r="L160" s="241">
        <v>2026</v>
      </c>
      <c r="M160" s="24"/>
      <c r="N160" s="24"/>
      <c r="O160" s="9"/>
      <c r="P160" s="230"/>
      <c r="Q160" s="229" t="s">
        <v>417</v>
      </c>
      <c r="R160" s="153"/>
      <c r="S160" s="9"/>
      <c r="T160" s="7"/>
      <c r="U160" s="7"/>
      <c r="V160" s="7"/>
      <c r="W160" s="7"/>
      <c r="X160" s="9"/>
      <c r="Y160" s="9"/>
      <c r="Z160" s="9"/>
      <c r="AA160" s="9"/>
      <c r="AB160" s="9"/>
      <c r="AC160" s="7"/>
      <c r="AD160" s="7"/>
      <c r="AE160" s="7"/>
      <c r="AF160" s="7"/>
      <c r="AG160" s="9"/>
      <c r="AH160" s="9"/>
      <c r="AI160" s="9"/>
      <c r="AJ160" s="9"/>
      <c r="AK160" s="9"/>
      <c r="AL160" s="7"/>
      <c r="AM160" s="8"/>
      <c r="AN160" s="7"/>
      <c r="AO160" s="7"/>
      <c r="AP160" s="9"/>
      <c r="AQ160" s="9"/>
      <c r="AR160" s="9"/>
      <c r="AS160" s="9"/>
      <c r="AT160" s="9"/>
      <c r="AU160" s="7"/>
      <c r="AV160" s="8"/>
    </row>
    <row r="161" spans="1:48" s="2" customFormat="1" ht="60" customHeight="1" x14ac:dyDescent="0.25">
      <c r="A161" s="19">
        <f t="shared" si="3"/>
        <v>135</v>
      </c>
      <c r="B161" s="156">
        <v>1</v>
      </c>
      <c r="C161" s="166"/>
      <c r="D161" s="184"/>
      <c r="E161" s="28" t="s">
        <v>352</v>
      </c>
      <c r="F161" s="28" t="s">
        <v>215</v>
      </c>
      <c r="G161" s="28" t="s">
        <v>286</v>
      </c>
      <c r="H161" s="19">
        <v>1981</v>
      </c>
      <c r="I161" s="19">
        <v>75.5</v>
      </c>
      <c r="J161" s="241" t="s">
        <v>9</v>
      </c>
      <c r="K161" s="242" t="s">
        <v>9</v>
      </c>
      <c r="L161" s="241">
        <v>2026</v>
      </c>
      <c r="M161" s="24"/>
      <c r="N161" s="24"/>
      <c r="O161" s="9"/>
      <c r="P161" s="230"/>
      <c r="Q161" s="229" t="s">
        <v>417</v>
      </c>
      <c r="R161" s="153"/>
      <c r="S161" s="9"/>
      <c r="T161" s="7"/>
      <c r="U161" s="7"/>
      <c r="V161" s="7"/>
      <c r="W161" s="7"/>
      <c r="X161" s="9"/>
      <c r="Y161" s="9"/>
      <c r="Z161" s="9"/>
      <c r="AA161" s="9"/>
      <c r="AB161" s="9"/>
      <c r="AC161" s="7"/>
      <c r="AD161" s="7"/>
      <c r="AE161" s="7"/>
      <c r="AF161" s="7"/>
      <c r="AG161" s="9"/>
      <c r="AH161" s="9"/>
      <c r="AI161" s="9"/>
      <c r="AJ161" s="9"/>
      <c r="AK161" s="9"/>
      <c r="AL161" s="7"/>
      <c r="AM161" s="8"/>
      <c r="AN161" s="7"/>
      <c r="AO161" s="7"/>
      <c r="AP161" s="9"/>
      <c r="AQ161" s="9"/>
      <c r="AR161" s="9"/>
      <c r="AS161" s="9"/>
      <c r="AT161" s="9"/>
      <c r="AU161" s="7"/>
      <c r="AV161" s="8"/>
    </row>
    <row r="162" spans="1:48" s="2" customFormat="1" ht="72.75" customHeight="1" x14ac:dyDescent="0.25">
      <c r="A162" s="19">
        <f t="shared" si="3"/>
        <v>136</v>
      </c>
      <c r="B162" s="156">
        <v>1</v>
      </c>
      <c r="C162" s="166"/>
      <c r="D162" s="184"/>
      <c r="E162" s="28" t="s">
        <v>486</v>
      </c>
      <c r="F162" s="28" t="s">
        <v>356</v>
      </c>
      <c r="G162" s="28" t="s">
        <v>287</v>
      </c>
      <c r="H162" s="19">
        <v>2022</v>
      </c>
      <c r="I162" s="19">
        <v>99</v>
      </c>
      <c r="J162" s="241" t="s">
        <v>9</v>
      </c>
      <c r="K162" s="242" t="s">
        <v>9</v>
      </c>
      <c r="L162" s="241">
        <v>2026</v>
      </c>
      <c r="M162" s="24" t="s">
        <v>479</v>
      </c>
      <c r="N162" s="24"/>
      <c r="O162" s="9"/>
      <c r="P162" s="230"/>
      <c r="Q162" s="229" t="s">
        <v>417</v>
      </c>
      <c r="R162" s="153"/>
      <c r="S162" s="9"/>
      <c r="T162" s="7"/>
      <c r="U162" s="7"/>
      <c r="V162" s="7"/>
      <c r="W162" s="7"/>
      <c r="X162" s="9"/>
      <c r="Y162" s="9"/>
      <c r="Z162" s="9"/>
      <c r="AA162" s="9"/>
      <c r="AB162" s="9"/>
      <c r="AC162" s="7"/>
      <c r="AD162" s="7"/>
      <c r="AE162" s="7"/>
      <c r="AF162" s="7"/>
      <c r="AG162" s="9"/>
      <c r="AH162" s="9"/>
      <c r="AI162" s="9"/>
      <c r="AJ162" s="9"/>
      <c r="AK162" s="9"/>
      <c r="AL162" s="7"/>
      <c r="AM162" s="8"/>
      <c r="AN162" s="7"/>
      <c r="AO162" s="7"/>
      <c r="AP162" s="9"/>
      <c r="AQ162" s="9"/>
      <c r="AR162" s="9"/>
      <c r="AS162" s="9"/>
      <c r="AT162" s="9"/>
      <c r="AU162" s="7"/>
      <c r="AV162" s="8"/>
    </row>
    <row r="163" spans="1:48" s="2" customFormat="1" ht="72.75" customHeight="1" x14ac:dyDescent="0.25">
      <c r="A163" s="19">
        <f>A162+1</f>
        <v>137</v>
      </c>
      <c r="B163" s="156">
        <v>1</v>
      </c>
      <c r="C163" s="166"/>
      <c r="D163" s="184"/>
      <c r="E163" s="28" t="s">
        <v>487</v>
      </c>
      <c r="F163" s="28" t="s">
        <v>357</v>
      </c>
      <c r="G163" s="28" t="s">
        <v>287</v>
      </c>
      <c r="H163" s="19">
        <v>2022</v>
      </c>
      <c r="I163" s="19">
        <v>88</v>
      </c>
      <c r="J163" s="241" t="s">
        <v>9</v>
      </c>
      <c r="K163" s="242" t="s">
        <v>9</v>
      </c>
      <c r="L163" s="241">
        <v>2026</v>
      </c>
      <c r="M163" s="24" t="s">
        <v>479</v>
      </c>
      <c r="N163" s="24"/>
      <c r="O163" s="9"/>
      <c r="P163" s="230"/>
      <c r="Q163" s="229" t="s">
        <v>417</v>
      </c>
      <c r="R163" s="153"/>
      <c r="S163" s="9"/>
      <c r="T163" s="7"/>
      <c r="U163" s="7"/>
      <c r="V163" s="7"/>
      <c r="W163" s="7"/>
      <c r="X163" s="9"/>
      <c r="Y163" s="9"/>
      <c r="Z163" s="9"/>
      <c r="AA163" s="9"/>
      <c r="AB163" s="9"/>
      <c r="AC163" s="7"/>
      <c r="AD163" s="7"/>
      <c r="AE163" s="7"/>
      <c r="AF163" s="7"/>
      <c r="AG163" s="9"/>
      <c r="AH163" s="9"/>
      <c r="AI163" s="9"/>
      <c r="AJ163" s="9"/>
      <c r="AK163" s="9"/>
      <c r="AL163" s="7"/>
      <c r="AM163" s="8"/>
      <c r="AN163" s="7"/>
      <c r="AO163" s="7"/>
      <c r="AP163" s="9"/>
      <c r="AQ163" s="9"/>
      <c r="AR163" s="9"/>
      <c r="AS163" s="9"/>
      <c r="AT163" s="9"/>
      <c r="AU163" s="7"/>
      <c r="AV163" s="8"/>
    </row>
    <row r="164" spans="1:48" s="2" customFormat="1" ht="72.75" customHeight="1" x14ac:dyDescent="0.25">
      <c r="A164" s="19">
        <v>138</v>
      </c>
      <c r="B164" s="156"/>
      <c r="C164" s="166"/>
      <c r="D164" s="296"/>
      <c r="E164" s="297" t="s">
        <v>525</v>
      </c>
      <c r="F164" s="297" t="s">
        <v>526</v>
      </c>
      <c r="G164" s="297" t="s">
        <v>287</v>
      </c>
      <c r="H164" s="298">
        <v>1967</v>
      </c>
      <c r="I164" s="298">
        <v>98</v>
      </c>
      <c r="J164" s="299" t="s">
        <v>9</v>
      </c>
      <c r="K164" s="299" t="s">
        <v>9</v>
      </c>
      <c r="L164" s="299">
        <v>2027</v>
      </c>
      <c r="M164" s="24"/>
      <c r="N164" s="24"/>
      <c r="O164" s="9"/>
      <c r="P164" s="289" t="s">
        <v>527</v>
      </c>
      <c r="Q164" s="229"/>
      <c r="R164" s="153"/>
      <c r="S164" s="9"/>
      <c r="T164" s="7"/>
      <c r="U164" s="7"/>
      <c r="V164" s="7"/>
      <c r="W164" s="7"/>
      <c r="X164" s="9"/>
      <c r="Y164" s="9"/>
      <c r="Z164" s="9"/>
      <c r="AA164" s="9"/>
      <c r="AB164" s="9"/>
      <c r="AC164" s="7"/>
      <c r="AD164" s="7"/>
      <c r="AE164" s="7"/>
      <c r="AF164" s="7"/>
      <c r="AG164" s="9"/>
      <c r="AH164" s="9"/>
      <c r="AI164" s="9"/>
      <c r="AJ164" s="9"/>
      <c r="AK164" s="9"/>
      <c r="AL164" s="7"/>
      <c r="AM164" s="8"/>
      <c r="AN164" s="7"/>
      <c r="AO164" s="7"/>
      <c r="AP164" s="9"/>
      <c r="AQ164" s="9"/>
      <c r="AR164" s="9"/>
      <c r="AS164" s="9"/>
      <c r="AT164" s="9"/>
      <c r="AU164" s="7"/>
      <c r="AV164" s="8"/>
    </row>
    <row r="165" spans="1:48" s="2" customFormat="1" ht="72.75" customHeight="1" x14ac:dyDescent="0.25">
      <c r="A165" s="19">
        <v>139</v>
      </c>
      <c r="B165" s="156"/>
      <c r="C165" s="166"/>
      <c r="D165" s="296"/>
      <c r="E165" s="297" t="s">
        <v>528</v>
      </c>
      <c r="F165" s="297" t="s">
        <v>529</v>
      </c>
      <c r="G165" s="297" t="s">
        <v>287</v>
      </c>
      <c r="H165" s="298">
        <v>1949</v>
      </c>
      <c r="I165" s="298">
        <v>152</v>
      </c>
      <c r="J165" s="299" t="s">
        <v>9</v>
      </c>
      <c r="K165" s="299" t="s">
        <v>9</v>
      </c>
      <c r="L165" s="299">
        <v>2027</v>
      </c>
      <c r="M165" s="24"/>
      <c r="N165" s="24"/>
      <c r="O165" s="9"/>
      <c r="P165" s="289" t="s">
        <v>527</v>
      </c>
      <c r="Q165" s="229"/>
      <c r="R165" s="153"/>
      <c r="S165" s="9"/>
      <c r="T165" s="7"/>
      <c r="U165" s="7"/>
      <c r="V165" s="7"/>
      <c r="W165" s="7"/>
      <c r="X165" s="9"/>
      <c r="Y165" s="9"/>
      <c r="Z165" s="9"/>
      <c r="AA165" s="9"/>
      <c r="AB165" s="9"/>
      <c r="AC165" s="7"/>
      <c r="AD165" s="7"/>
      <c r="AE165" s="7"/>
      <c r="AF165" s="7"/>
      <c r="AG165" s="9"/>
      <c r="AH165" s="9"/>
      <c r="AI165" s="9"/>
      <c r="AJ165" s="9"/>
      <c r="AK165" s="9"/>
      <c r="AL165" s="7"/>
      <c r="AM165" s="8"/>
      <c r="AN165" s="7"/>
      <c r="AO165" s="7"/>
      <c r="AP165" s="9"/>
      <c r="AQ165" s="9"/>
      <c r="AR165" s="9"/>
      <c r="AS165" s="9"/>
      <c r="AT165" s="9"/>
      <c r="AU165" s="7"/>
      <c r="AV165" s="8"/>
    </row>
    <row r="166" spans="1:48" s="2" customFormat="1" ht="72.75" customHeight="1" x14ac:dyDescent="0.25">
      <c r="A166" s="19">
        <v>140</v>
      </c>
      <c r="B166" s="156"/>
      <c r="C166" s="166"/>
      <c r="D166" s="296"/>
      <c r="E166" s="297" t="s">
        <v>355</v>
      </c>
      <c r="F166" s="297" t="s">
        <v>530</v>
      </c>
      <c r="G166" s="297" t="s">
        <v>287</v>
      </c>
      <c r="H166" s="298">
        <v>1958</v>
      </c>
      <c r="I166" s="298">
        <v>146</v>
      </c>
      <c r="J166" s="299" t="s">
        <v>61</v>
      </c>
      <c r="K166" s="299" t="s">
        <v>61</v>
      </c>
      <c r="L166" s="299">
        <v>2026</v>
      </c>
      <c r="M166" s="24"/>
      <c r="N166" s="24"/>
      <c r="O166" s="9"/>
      <c r="P166" s="289" t="s">
        <v>527</v>
      </c>
      <c r="Q166" s="229"/>
      <c r="R166" s="153"/>
      <c r="S166" s="9"/>
      <c r="T166" s="7"/>
      <c r="U166" s="7"/>
      <c r="V166" s="7"/>
      <c r="W166" s="7"/>
      <c r="X166" s="9"/>
      <c r="Y166" s="9"/>
      <c r="Z166" s="9"/>
      <c r="AA166" s="9"/>
      <c r="AB166" s="9"/>
      <c r="AC166" s="7"/>
      <c r="AD166" s="7"/>
      <c r="AE166" s="7"/>
      <c r="AF166" s="7"/>
      <c r="AG166" s="9"/>
      <c r="AH166" s="9"/>
      <c r="AI166" s="9"/>
      <c r="AJ166" s="9"/>
      <c r="AK166" s="9"/>
      <c r="AL166" s="7"/>
      <c r="AM166" s="8"/>
      <c r="AN166" s="7"/>
      <c r="AO166" s="7"/>
      <c r="AP166" s="9"/>
      <c r="AQ166" s="9"/>
      <c r="AR166" s="9"/>
      <c r="AS166" s="9"/>
      <c r="AT166" s="9"/>
      <c r="AU166" s="7"/>
      <c r="AV166" s="8"/>
    </row>
    <row r="167" spans="1:48" s="2" customFormat="1" ht="72.75" customHeight="1" x14ac:dyDescent="0.25">
      <c r="A167" s="19">
        <v>141</v>
      </c>
      <c r="B167" s="156"/>
      <c r="C167" s="166"/>
      <c r="D167" s="296"/>
      <c r="E167" s="297" t="s">
        <v>528</v>
      </c>
      <c r="F167" s="297" t="s">
        <v>529</v>
      </c>
      <c r="G167" s="297" t="s">
        <v>287</v>
      </c>
      <c r="H167" s="298">
        <v>1949</v>
      </c>
      <c r="I167" s="298">
        <v>152</v>
      </c>
      <c r="J167" s="299" t="s">
        <v>9</v>
      </c>
      <c r="K167" s="299" t="s">
        <v>9</v>
      </c>
      <c r="L167" s="299">
        <v>2027</v>
      </c>
      <c r="M167" s="24"/>
      <c r="N167" s="24"/>
      <c r="O167" s="9"/>
      <c r="P167" s="289" t="s">
        <v>527</v>
      </c>
      <c r="Q167" s="229"/>
      <c r="R167" s="153"/>
      <c r="S167" s="9"/>
      <c r="T167" s="7"/>
      <c r="U167" s="7"/>
      <c r="V167" s="7"/>
      <c r="W167" s="7"/>
      <c r="X167" s="9"/>
      <c r="Y167" s="9"/>
      <c r="Z167" s="9"/>
      <c r="AA167" s="9"/>
      <c r="AB167" s="9"/>
      <c r="AC167" s="7"/>
      <c r="AD167" s="7"/>
      <c r="AE167" s="7"/>
      <c r="AF167" s="7"/>
      <c r="AG167" s="9"/>
      <c r="AH167" s="9"/>
      <c r="AI167" s="9"/>
      <c r="AJ167" s="9"/>
      <c r="AK167" s="9"/>
      <c r="AL167" s="7"/>
      <c r="AM167" s="8"/>
      <c r="AN167" s="7"/>
      <c r="AO167" s="7"/>
      <c r="AP167" s="9"/>
      <c r="AQ167" s="9"/>
      <c r="AR167" s="9"/>
      <c r="AS167" s="9"/>
      <c r="AT167" s="9"/>
      <c r="AU167" s="7"/>
      <c r="AV167" s="8"/>
    </row>
    <row r="168" spans="1:48" ht="15" customHeight="1" x14ac:dyDescent="0.2">
      <c r="A168" s="218"/>
      <c r="B168" s="19"/>
      <c r="C168" s="168" t="s">
        <v>76</v>
      </c>
      <c r="D168" s="185"/>
      <c r="E168" s="158"/>
      <c r="F168" s="158"/>
      <c r="G168" s="158"/>
      <c r="H168" s="159"/>
      <c r="I168" s="159"/>
      <c r="J168" s="208"/>
      <c r="K168" s="246"/>
      <c r="L168" s="209"/>
      <c r="M168" s="157"/>
      <c r="N168" s="160"/>
      <c r="O168" s="9"/>
      <c r="P168" s="230"/>
      <c r="Q168" s="229"/>
      <c r="R168" s="153"/>
      <c r="S168" s="9"/>
      <c r="T168" s="7"/>
      <c r="U168" s="7"/>
      <c r="V168" s="7"/>
      <c r="W168" s="7"/>
      <c r="X168" s="9"/>
      <c r="Y168" s="9"/>
      <c r="Z168" s="9"/>
      <c r="AA168" s="9"/>
      <c r="AB168" s="9"/>
      <c r="AC168" s="7"/>
      <c r="AD168" s="7"/>
      <c r="AE168" s="7"/>
      <c r="AF168" s="7"/>
      <c r="AG168" s="9"/>
      <c r="AH168" s="9"/>
      <c r="AI168" s="9"/>
      <c r="AJ168" s="9"/>
      <c r="AK168" s="9"/>
      <c r="AL168" s="7"/>
      <c r="AM168" s="8"/>
      <c r="AN168" s="7"/>
      <c r="AO168" s="7"/>
      <c r="AP168" s="9"/>
      <c r="AQ168" s="9"/>
      <c r="AR168" s="9"/>
      <c r="AS168" s="9"/>
      <c r="AT168" s="9"/>
      <c r="AU168" s="7"/>
      <c r="AV168" s="8"/>
    </row>
    <row r="169" spans="1:48" ht="62.25" customHeight="1" x14ac:dyDescent="0.2">
      <c r="A169" s="218">
        <v>142</v>
      </c>
      <c r="B169" s="19">
        <v>1</v>
      </c>
      <c r="C169" s="21" t="s">
        <v>517</v>
      </c>
      <c r="D169" s="253"/>
      <c r="E169" s="254" t="s">
        <v>477</v>
      </c>
      <c r="F169" s="28" t="s">
        <v>478</v>
      </c>
      <c r="G169" s="28" t="s">
        <v>31</v>
      </c>
      <c r="H169" s="19">
        <v>1982</v>
      </c>
      <c r="I169" s="19">
        <v>186.4</v>
      </c>
      <c r="J169" s="241" t="s">
        <v>11</v>
      </c>
      <c r="K169" s="241" t="s">
        <v>11</v>
      </c>
      <c r="L169" s="243">
        <v>2026</v>
      </c>
      <c r="M169"/>
      <c r="N169" s="160"/>
      <c r="O169" s="9"/>
      <c r="P169" s="230"/>
      <c r="Q169" s="229" t="s">
        <v>419</v>
      </c>
      <c r="R169" s="153"/>
      <c r="S169" s="9"/>
      <c r="T169" s="7"/>
      <c r="U169" s="7"/>
      <c r="V169" s="7"/>
      <c r="W169" s="7"/>
      <c r="X169" s="9"/>
      <c r="Y169" s="9"/>
      <c r="Z169" s="9"/>
      <c r="AA169" s="9"/>
      <c r="AB169" s="9"/>
      <c r="AC169" s="7"/>
      <c r="AD169" s="7"/>
      <c r="AE169" s="7"/>
      <c r="AF169" s="7"/>
      <c r="AG169" s="9"/>
      <c r="AH169" s="9"/>
      <c r="AI169" s="9"/>
      <c r="AJ169" s="9"/>
      <c r="AK169" s="9"/>
      <c r="AL169" s="7"/>
      <c r="AM169" s="8"/>
      <c r="AN169" s="7"/>
      <c r="AO169" s="7"/>
      <c r="AP169" s="9"/>
      <c r="AQ169" s="9"/>
      <c r="AR169" s="9"/>
      <c r="AS169" s="9"/>
      <c r="AT169" s="9"/>
      <c r="AU169" s="7"/>
      <c r="AV169" s="8"/>
    </row>
    <row r="170" spans="1:48" ht="51" customHeight="1" x14ac:dyDescent="0.2">
      <c r="A170" s="218">
        <f>A169+1</f>
        <v>143</v>
      </c>
      <c r="B170" s="19">
        <v>1</v>
      </c>
      <c r="C170" s="255" t="s">
        <v>475</v>
      </c>
      <c r="D170" s="256"/>
      <c r="E170" s="28" t="s">
        <v>31</v>
      </c>
      <c r="F170" s="28" t="s">
        <v>476</v>
      </c>
      <c r="G170" s="28" t="s">
        <v>31</v>
      </c>
      <c r="H170" s="19">
        <v>1985</v>
      </c>
      <c r="I170" s="19">
        <v>560</v>
      </c>
      <c r="J170" s="241" t="s">
        <v>11</v>
      </c>
      <c r="K170" s="241" t="s">
        <v>11</v>
      </c>
      <c r="L170" s="209">
        <v>2026</v>
      </c>
      <c r="M170"/>
      <c r="N170" s="160"/>
      <c r="O170" s="9"/>
      <c r="P170" s="230"/>
      <c r="Q170" s="229" t="s">
        <v>419</v>
      </c>
      <c r="R170" s="153"/>
      <c r="S170" s="9"/>
      <c r="T170" s="7"/>
      <c r="U170" s="7"/>
      <c r="V170" s="7"/>
      <c r="W170" s="7"/>
      <c r="X170" s="9"/>
      <c r="Y170" s="9"/>
      <c r="Z170" s="9"/>
      <c r="AA170" s="9"/>
      <c r="AB170" s="9"/>
      <c r="AC170" s="7"/>
      <c r="AD170" s="7"/>
      <c r="AE170" s="7"/>
      <c r="AF170" s="7"/>
      <c r="AG170" s="9"/>
      <c r="AH170" s="9"/>
      <c r="AI170" s="9"/>
      <c r="AJ170" s="9"/>
      <c r="AK170" s="9"/>
      <c r="AL170" s="7"/>
      <c r="AM170" s="8"/>
      <c r="AN170" s="7"/>
      <c r="AO170" s="7"/>
      <c r="AP170" s="9"/>
      <c r="AQ170" s="9"/>
      <c r="AR170" s="9"/>
      <c r="AS170" s="9"/>
      <c r="AT170" s="9"/>
      <c r="AU170" s="7"/>
      <c r="AV170" s="8"/>
    </row>
    <row r="171" spans="1:48" ht="64.5" customHeight="1" x14ac:dyDescent="0.2">
      <c r="A171" s="218">
        <f t="shared" ref="A171:A234" si="4">A170+1</f>
        <v>144</v>
      </c>
      <c r="B171" s="19">
        <v>1</v>
      </c>
      <c r="C171" s="255" t="s">
        <v>466</v>
      </c>
      <c r="D171" s="256"/>
      <c r="E171" s="28" t="s">
        <v>467</v>
      </c>
      <c r="F171" s="28" t="s">
        <v>468</v>
      </c>
      <c r="G171" s="28" t="s">
        <v>287</v>
      </c>
      <c r="H171" s="19">
        <v>2010</v>
      </c>
      <c r="I171" s="19">
        <v>450</v>
      </c>
      <c r="J171" s="241" t="s">
        <v>9</v>
      </c>
      <c r="K171" s="241" t="s">
        <v>9</v>
      </c>
      <c r="L171" s="243">
        <v>2026</v>
      </c>
      <c r="M171" s="24"/>
      <c r="N171" s="160"/>
      <c r="O171" s="9"/>
      <c r="P171" s="230"/>
      <c r="Q171" s="229" t="s">
        <v>419</v>
      </c>
      <c r="R171" s="153"/>
      <c r="S171" s="9"/>
      <c r="T171" s="7"/>
      <c r="U171" s="7"/>
      <c r="V171" s="7"/>
      <c r="W171" s="7"/>
      <c r="X171" s="9"/>
      <c r="Y171" s="9"/>
      <c r="Z171" s="9"/>
      <c r="AA171" s="9"/>
      <c r="AB171" s="9"/>
      <c r="AC171" s="7"/>
      <c r="AD171" s="7"/>
      <c r="AE171" s="7"/>
      <c r="AF171" s="7"/>
      <c r="AG171" s="9"/>
      <c r="AH171" s="9"/>
      <c r="AI171" s="9"/>
      <c r="AJ171" s="9"/>
      <c r="AK171" s="9"/>
      <c r="AL171" s="7"/>
      <c r="AM171" s="8"/>
      <c r="AN171" s="7"/>
      <c r="AO171" s="7"/>
      <c r="AP171" s="9"/>
      <c r="AQ171" s="9"/>
      <c r="AR171" s="9"/>
      <c r="AS171" s="9"/>
      <c r="AT171" s="9"/>
      <c r="AU171" s="7"/>
      <c r="AV171" s="8"/>
    </row>
    <row r="172" spans="1:48" ht="64.5" customHeight="1" x14ac:dyDescent="0.2">
      <c r="A172" s="218">
        <f t="shared" si="4"/>
        <v>145</v>
      </c>
      <c r="B172" s="19">
        <v>1</v>
      </c>
      <c r="C172" s="255" t="s">
        <v>471</v>
      </c>
      <c r="D172" s="256"/>
      <c r="E172" s="28" t="s">
        <v>469</v>
      </c>
      <c r="F172" s="28" t="s">
        <v>470</v>
      </c>
      <c r="G172" s="28" t="s">
        <v>287</v>
      </c>
      <c r="H172" s="19">
        <v>1985</v>
      </c>
      <c r="I172" s="19">
        <v>560</v>
      </c>
      <c r="J172" s="241" t="s">
        <v>11</v>
      </c>
      <c r="K172" s="241" t="s">
        <v>11</v>
      </c>
      <c r="L172" s="243">
        <v>2026</v>
      </c>
      <c r="M172"/>
      <c r="N172" s="160"/>
      <c r="O172" s="9"/>
      <c r="P172" s="230"/>
      <c r="Q172" s="229" t="s">
        <v>419</v>
      </c>
      <c r="R172" s="153"/>
      <c r="S172" s="9"/>
      <c r="T172" s="7"/>
      <c r="U172" s="7"/>
      <c r="V172" s="7"/>
      <c r="W172" s="7"/>
      <c r="X172" s="9"/>
      <c r="Y172" s="9"/>
      <c r="Z172" s="9"/>
      <c r="AA172" s="9"/>
      <c r="AB172" s="9"/>
      <c r="AC172" s="7"/>
      <c r="AD172" s="7"/>
      <c r="AE172" s="7"/>
      <c r="AF172" s="7"/>
      <c r="AG172" s="9"/>
      <c r="AH172" s="9"/>
      <c r="AI172" s="9"/>
      <c r="AJ172" s="9"/>
      <c r="AK172" s="9"/>
      <c r="AL172" s="7"/>
      <c r="AM172" s="8"/>
      <c r="AN172" s="7"/>
      <c r="AO172" s="7"/>
      <c r="AP172" s="9"/>
      <c r="AQ172" s="9"/>
      <c r="AR172" s="9"/>
      <c r="AS172" s="9"/>
      <c r="AT172" s="9"/>
      <c r="AU172" s="7"/>
      <c r="AV172" s="8"/>
    </row>
    <row r="173" spans="1:48" ht="64.5" customHeight="1" x14ac:dyDescent="0.2">
      <c r="A173" s="218">
        <f t="shared" si="4"/>
        <v>146</v>
      </c>
      <c r="B173" s="19">
        <v>1</v>
      </c>
      <c r="C173" s="255" t="s">
        <v>472</v>
      </c>
      <c r="D173" s="256"/>
      <c r="E173" s="28" t="s">
        <v>473</v>
      </c>
      <c r="F173" s="28" t="s">
        <v>474</v>
      </c>
      <c r="G173" s="28" t="s">
        <v>281</v>
      </c>
      <c r="H173" s="19">
        <v>2001</v>
      </c>
      <c r="I173" s="19">
        <v>55</v>
      </c>
      <c r="J173" s="241" t="s">
        <v>11</v>
      </c>
      <c r="K173" s="241" t="s">
        <v>11</v>
      </c>
      <c r="L173" s="243">
        <v>2026</v>
      </c>
      <c r="M173"/>
      <c r="N173" s="160"/>
      <c r="O173" s="9"/>
      <c r="P173" s="230"/>
      <c r="Q173" s="229" t="s">
        <v>419</v>
      </c>
      <c r="R173" s="153"/>
      <c r="S173" s="9"/>
      <c r="T173" s="7"/>
      <c r="U173" s="7"/>
      <c r="V173" s="7"/>
      <c r="W173" s="7"/>
      <c r="X173" s="9"/>
      <c r="Y173" s="9"/>
      <c r="Z173" s="9"/>
      <c r="AA173" s="9"/>
      <c r="AB173" s="9"/>
      <c r="AC173" s="7"/>
      <c r="AD173" s="7"/>
      <c r="AE173" s="7"/>
      <c r="AF173" s="7"/>
      <c r="AG173" s="9"/>
      <c r="AH173" s="9"/>
      <c r="AI173" s="9"/>
      <c r="AJ173" s="9"/>
      <c r="AK173" s="9"/>
      <c r="AL173" s="7"/>
      <c r="AM173" s="8"/>
      <c r="AN173" s="7"/>
      <c r="AO173" s="7"/>
      <c r="AP173" s="9"/>
      <c r="AQ173" s="9"/>
      <c r="AR173" s="9"/>
      <c r="AS173" s="9"/>
      <c r="AT173" s="9"/>
      <c r="AU173" s="7"/>
      <c r="AV173" s="8"/>
    </row>
    <row r="174" spans="1:48" ht="60.75" customHeight="1" x14ac:dyDescent="0.2">
      <c r="A174" s="218">
        <f t="shared" si="4"/>
        <v>147</v>
      </c>
      <c r="B174" s="210">
        <v>1</v>
      </c>
      <c r="C174" s="271" t="s">
        <v>461</v>
      </c>
      <c r="D174" s="257"/>
      <c r="E174" s="214" t="s">
        <v>495</v>
      </c>
      <c r="F174" s="214" t="s">
        <v>465</v>
      </c>
      <c r="G174" s="214" t="s">
        <v>31</v>
      </c>
      <c r="H174" s="210">
        <v>2009</v>
      </c>
      <c r="I174" s="210">
        <v>150</v>
      </c>
      <c r="J174" s="241" t="s">
        <v>9</v>
      </c>
      <c r="K174" s="241" t="s">
        <v>9</v>
      </c>
      <c r="L174" s="258">
        <v>2026</v>
      </c>
      <c r="M174" s="10"/>
      <c r="N174" s="160"/>
      <c r="O174" s="9"/>
      <c r="P174" s="230"/>
      <c r="Q174" s="229" t="s">
        <v>419</v>
      </c>
      <c r="R174" s="153"/>
      <c r="S174" s="9"/>
      <c r="T174" s="7"/>
      <c r="U174" s="7"/>
      <c r="V174" s="7"/>
      <c r="W174" s="7"/>
      <c r="X174" s="9"/>
      <c r="Y174" s="9"/>
      <c r="Z174" s="9"/>
      <c r="AA174" s="9"/>
      <c r="AB174" s="9"/>
      <c r="AC174" s="7"/>
      <c r="AD174" s="7"/>
      <c r="AE174" s="7"/>
      <c r="AF174" s="7"/>
      <c r="AG174" s="9"/>
      <c r="AH174" s="9"/>
      <c r="AI174" s="9"/>
      <c r="AJ174" s="9"/>
      <c r="AK174" s="9"/>
      <c r="AL174" s="7"/>
      <c r="AM174" s="8"/>
      <c r="AN174" s="7"/>
      <c r="AO174" s="7"/>
      <c r="AP174" s="9"/>
      <c r="AQ174" s="9"/>
      <c r="AR174" s="9"/>
      <c r="AS174" s="9"/>
      <c r="AT174" s="9"/>
      <c r="AU174" s="7"/>
      <c r="AV174" s="8"/>
    </row>
    <row r="175" spans="1:48" ht="60.75" customHeight="1" x14ac:dyDescent="0.2">
      <c r="A175" s="218">
        <f t="shared" si="4"/>
        <v>148</v>
      </c>
      <c r="B175" s="210">
        <v>1</v>
      </c>
      <c r="C175" s="255"/>
      <c r="D175" s="257"/>
      <c r="E175" s="214" t="s">
        <v>494</v>
      </c>
      <c r="F175" s="214" t="s">
        <v>497</v>
      </c>
      <c r="G175" s="214" t="s">
        <v>496</v>
      </c>
      <c r="H175" s="210"/>
      <c r="I175" s="210"/>
      <c r="J175" s="241" t="s">
        <v>9</v>
      </c>
      <c r="K175" s="241" t="s">
        <v>9</v>
      </c>
      <c r="L175" s="258">
        <v>2026</v>
      </c>
      <c r="M175" s="10"/>
      <c r="N175" s="160"/>
      <c r="O175" s="9"/>
      <c r="P175" s="260"/>
      <c r="Q175" s="278" t="s">
        <v>419</v>
      </c>
      <c r="R175" s="153"/>
      <c r="S175" s="9"/>
      <c r="T175" s="7"/>
      <c r="U175" s="7"/>
      <c r="V175" s="7"/>
      <c r="W175" s="7"/>
      <c r="X175" s="9"/>
      <c r="Y175" s="9"/>
      <c r="Z175" s="9"/>
      <c r="AA175" s="9"/>
      <c r="AB175" s="9"/>
      <c r="AC175" s="7"/>
      <c r="AD175" s="7"/>
      <c r="AE175" s="7"/>
      <c r="AF175" s="7"/>
      <c r="AG175" s="9"/>
      <c r="AH175" s="9"/>
      <c r="AI175" s="9"/>
      <c r="AJ175" s="9"/>
      <c r="AK175" s="9"/>
      <c r="AL175" s="7"/>
      <c r="AM175" s="8"/>
      <c r="AN175" s="7"/>
      <c r="AO175" s="7"/>
      <c r="AP175" s="9"/>
      <c r="AQ175" s="9"/>
      <c r="AR175" s="9"/>
      <c r="AS175" s="9"/>
      <c r="AT175" s="9"/>
      <c r="AU175" s="7"/>
      <c r="AV175" s="8"/>
    </row>
    <row r="176" spans="1:48" ht="47.25" customHeight="1" x14ac:dyDescent="0.2">
      <c r="A176" s="218">
        <f t="shared" si="4"/>
        <v>149</v>
      </c>
      <c r="B176" s="19">
        <v>1</v>
      </c>
      <c r="C176" s="21" t="s">
        <v>462</v>
      </c>
      <c r="D176" s="253"/>
      <c r="E176" s="28" t="s">
        <v>463</v>
      </c>
      <c r="F176" s="28" t="s">
        <v>464</v>
      </c>
      <c r="G176" s="28" t="s">
        <v>32</v>
      </c>
      <c r="H176" s="19"/>
      <c r="I176" s="19"/>
      <c r="J176" s="241" t="s">
        <v>11</v>
      </c>
      <c r="K176" s="241" t="s">
        <v>11</v>
      </c>
      <c r="L176" s="243">
        <v>2026</v>
      </c>
      <c r="M176"/>
      <c r="N176" s="160"/>
      <c r="O176" s="9"/>
      <c r="P176" s="230"/>
      <c r="Q176" s="229" t="s">
        <v>419</v>
      </c>
      <c r="R176" s="153"/>
      <c r="S176" s="9"/>
      <c r="T176" s="7"/>
      <c r="U176" s="7"/>
      <c r="V176" s="7"/>
      <c r="W176" s="7"/>
      <c r="X176" s="9"/>
      <c r="Y176" s="9"/>
      <c r="Z176" s="9"/>
      <c r="AA176" s="9"/>
      <c r="AB176" s="9"/>
      <c r="AC176" s="7"/>
      <c r="AD176" s="7"/>
      <c r="AE176" s="7"/>
      <c r="AF176" s="7"/>
      <c r="AG176" s="9"/>
      <c r="AH176" s="9"/>
      <c r="AI176" s="9"/>
      <c r="AJ176" s="9"/>
      <c r="AK176" s="9"/>
      <c r="AL176" s="7"/>
      <c r="AM176" s="8"/>
      <c r="AN176" s="7"/>
      <c r="AO176" s="7"/>
      <c r="AP176" s="9"/>
      <c r="AQ176" s="9"/>
      <c r="AR176" s="9"/>
      <c r="AS176" s="9"/>
      <c r="AT176" s="9"/>
      <c r="AU176" s="7"/>
      <c r="AV176" s="8"/>
    </row>
    <row r="177" spans="1:48" s="3" customFormat="1" ht="69.599999999999994" customHeight="1" x14ac:dyDescent="0.25">
      <c r="A177" s="218">
        <f t="shared" si="4"/>
        <v>150</v>
      </c>
      <c r="B177" s="19">
        <v>1</v>
      </c>
      <c r="C177" s="164" t="s">
        <v>216</v>
      </c>
      <c r="D177" s="180" t="s">
        <v>432</v>
      </c>
      <c r="E177" s="28" t="s">
        <v>217</v>
      </c>
      <c r="F177" s="28" t="s">
        <v>218</v>
      </c>
      <c r="G177" s="28" t="s">
        <v>31</v>
      </c>
      <c r="H177" s="19">
        <v>1980</v>
      </c>
      <c r="I177" s="19">
        <v>1840</v>
      </c>
      <c r="J177" s="241" t="s">
        <v>11</v>
      </c>
      <c r="K177" s="242" t="s">
        <v>11</v>
      </c>
      <c r="L177" s="241">
        <v>2026</v>
      </c>
      <c r="M177" s="24"/>
      <c r="N177" s="24"/>
      <c r="O177" s="12"/>
      <c r="P177" s="230" t="s">
        <v>11</v>
      </c>
      <c r="Q177" s="229" t="s">
        <v>419</v>
      </c>
      <c r="R177" s="155"/>
      <c r="S177" s="12"/>
      <c r="T177" s="10"/>
      <c r="U177" s="10"/>
      <c r="V177" s="10"/>
      <c r="W177" s="10"/>
      <c r="X177" s="12"/>
      <c r="Y177" s="12"/>
      <c r="Z177" s="12"/>
      <c r="AA177" s="12"/>
      <c r="AB177" s="12"/>
      <c r="AC177" s="10"/>
      <c r="AD177" s="10"/>
      <c r="AE177" s="10"/>
      <c r="AF177" s="10"/>
      <c r="AG177" s="12"/>
      <c r="AH177" s="12"/>
      <c r="AI177" s="12"/>
      <c r="AJ177" s="12"/>
      <c r="AK177" s="12"/>
      <c r="AL177" s="10"/>
      <c r="AM177" s="11"/>
      <c r="AN177" s="10"/>
      <c r="AO177" s="10"/>
      <c r="AP177" s="12"/>
      <c r="AQ177" s="12"/>
      <c r="AR177" s="12"/>
      <c r="AS177" s="12"/>
      <c r="AT177" s="12"/>
      <c r="AU177" s="10"/>
      <c r="AV177" s="11"/>
    </row>
    <row r="178" spans="1:48" ht="62.25" customHeight="1" x14ac:dyDescent="0.2">
      <c r="A178" s="218">
        <f t="shared" si="4"/>
        <v>151</v>
      </c>
      <c r="B178" s="156">
        <v>1</v>
      </c>
      <c r="C178" s="164" t="s">
        <v>219</v>
      </c>
      <c r="D178" s="182" t="s">
        <v>312</v>
      </c>
      <c r="E178" s="28" t="s">
        <v>220</v>
      </c>
      <c r="F178" s="28" t="s">
        <v>231</v>
      </c>
      <c r="G178" s="28" t="s">
        <v>289</v>
      </c>
      <c r="H178" s="19">
        <v>1961</v>
      </c>
      <c r="I178" s="19">
        <v>251</v>
      </c>
      <c r="J178" s="241" t="s">
        <v>11</v>
      </c>
      <c r="K178" s="242" t="s">
        <v>11</v>
      </c>
      <c r="L178" s="241">
        <v>2027</v>
      </c>
      <c r="M178" s="24"/>
      <c r="N178" s="24" t="s">
        <v>47</v>
      </c>
      <c r="O178" s="9"/>
      <c r="P178" s="230"/>
      <c r="Q178" s="229" t="s">
        <v>419</v>
      </c>
      <c r="R178" s="153"/>
      <c r="S178" s="9"/>
      <c r="T178" s="7"/>
      <c r="U178" s="7"/>
      <c r="V178" s="7"/>
      <c r="W178" s="7"/>
      <c r="X178" s="9"/>
      <c r="Y178" s="9"/>
      <c r="Z178" s="9"/>
      <c r="AA178" s="9"/>
      <c r="AB178" s="9"/>
      <c r="AC178" s="7"/>
      <c r="AD178" s="7"/>
      <c r="AE178" s="7"/>
      <c r="AF178" s="7"/>
      <c r="AG178" s="9"/>
      <c r="AH178" s="9"/>
      <c r="AI178" s="9"/>
      <c r="AJ178" s="9"/>
      <c r="AK178" s="9"/>
      <c r="AL178" s="7"/>
      <c r="AM178" s="8"/>
      <c r="AN178" s="7"/>
      <c r="AO178" s="7"/>
      <c r="AP178" s="9"/>
      <c r="AQ178" s="9"/>
      <c r="AR178" s="9"/>
      <c r="AS178" s="9"/>
      <c r="AT178" s="9"/>
      <c r="AU178" s="7"/>
      <c r="AV178" s="8"/>
    </row>
    <row r="179" spans="1:48" s="2" customFormat="1" ht="54" customHeight="1" x14ac:dyDescent="0.25">
      <c r="A179" s="218">
        <f t="shared" si="4"/>
        <v>152</v>
      </c>
      <c r="B179" s="156">
        <v>1</v>
      </c>
      <c r="C179" s="165"/>
      <c r="D179" s="183"/>
      <c r="E179" s="28" t="s">
        <v>221</v>
      </c>
      <c r="F179" s="28" t="s">
        <v>232</v>
      </c>
      <c r="G179" s="28" t="s">
        <v>29</v>
      </c>
      <c r="H179" s="19">
        <v>1961</v>
      </c>
      <c r="I179" s="19">
        <v>155.9</v>
      </c>
      <c r="J179" s="241" t="s">
        <v>11</v>
      </c>
      <c r="K179" s="242" t="s">
        <v>11</v>
      </c>
      <c r="L179" s="241">
        <v>2027</v>
      </c>
      <c r="M179" s="24"/>
      <c r="N179" s="24" t="s">
        <v>47</v>
      </c>
      <c r="O179" s="9"/>
      <c r="P179" s="230"/>
      <c r="Q179" s="229" t="s">
        <v>419</v>
      </c>
      <c r="R179" s="153"/>
      <c r="S179" s="9"/>
      <c r="T179" s="7"/>
      <c r="U179" s="7"/>
      <c r="V179" s="7"/>
      <c r="W179" s="7"/>
      <c r="X179" s="9"/>
      <c r="Y179" s="9"/>
      <c r="Z179" s="9"/>
      <c r="AA179" s="9"/>
      <c r="AB179" s="9"/>
      <c r="AC179" s="7"/>
      <c r="AD179" s="7"/>
      <c r="AE179" s="7"/>
      <c r="AF179" s="7"/>
      <c r="AG179" s="9"/>
      <c r="AH179" s="9"/>
      <c r="AI179" s="9"/>
      <c r="AJ179" s="9"/>
      <c r="AK179" s="9"/>
      <c r="AL179" s="7"/>
      <c r="AM179" s="8"/>
      <c r="AN179" s="7"/>
      <c r="AO179" s="7"/>
      <c r="AP179" s="9"/>
      <c r="AQ179" s="9"/>
      <c r="AR179" s="9"/>
      <c r="AS179" s="9"/>
      <c r="AT179" s="9"/>
      <c r="AU179" s="7"/>
      <c r="AV179" s="8"/>
    </row>
    <row r="180" spans="1:48" s="2" customFormat="1" ht="67.5" customHeight="1" x14ac:dyDescent="0.25">
      <c r="A180" s="218">
        <f t="shared" si="4"/>
        <v>153</v>
      </c>
      <c r="B180" s="19">
        <v>1</v>
      </c>
      <c r="C180" s="165" t="s">
        <v>222</v>
      </c>
      <c r="D180" s="180" t="s">
        <v>222</v>
      </c>
      <c r="E180" s="28" t="s">
        <v>3</v>
      </c>
      <c r="F180" s="28" t="s">
        <v>223</v>
      </c>
      <c r="G180" s="28" t="s">
        <v>31</v>
      </c>
      <c r="H180" s="19">
        <v>1982</v>
      </c>
      <c r="I180" s="19">
        <v>1490</v>
      </c>
      <c r="J180" s="241" t="s">
        <v>11</v>
      </c>
      <c r="K180" s="242" t="s">
        <v>11</v>
      </c>
      <c r="L180" s="241">
        <v>2027</v>
      </c>
      <c r="M180" s="24"/>
      <c r="N180" s="24"/>
      <c r="O180" s="9"/>
      <c r="P180" s="230"/>
      <c r="Q180" s="229" t="s">
        <v>419</v>
      </c>
      <c r="R180" s="153"/>
      <c r="S180" s="9"/>
      <c r="T180" s="7"/>
      <c r="U180" s="7"/>
      <c r="V180" s="7"/>
      <c r="W180" s="7"/>
      <c r="X180" s="9"/>
      <c r="Y180" s="9"/>
      <c r="Z180" s="9"/>
      <c r="AA180" s="9"/>
      <c r="AB180" s="9"/>
      <c r="AC180" s="7"/>
      <c r="AD180" s="7"/>
      <c r="AE180" s="7"/>
      <c r="AF180" s="7"/>
      <c r="AG180" s="9"/>
      <c r="AH180" s="9"/>
      <c r="AI180" s="9"/>
      <c r="AJ180" s="9"/>
      <c r="AK180" s="9"/>
      <c r="AL180" s="7"/>
      <c r="AM180" s="8"/>
      <c r="AN180" s="7"/>
      <c r="AO180" s="7"/>
      <c r="AP180" s="9"/>
      <c r="AQ180" s="9"/>
      <c r="AR180" s="9"/>
      <c r="AS180" s="9"/>
      <c r="AT180" s="9"/>
      <c r="AU180" s="7"/>
      <c r="AV180" s="8"/>
    </row>
    <row r="181" spans="1:48" s="2" customFormat="1" ht="76.5" customHeight="1" x14ac:dyDescent="0.25">
      <c r="A181" s="218">
        <f t="shared" si="4"/>
        <v>154</v>
      </c>
      <c r="B181" s="19">
        <v>1</v>
      </c>
      <c r="C181" s="24" t="s">
        <v>233</v>
      </c>
      <c r="D181" s="180" t="s">
        <v>233</v>
      </c>
      <c r="E181" s="28" t="s">
        <v>224</v>
      </c>
      <c r="F181" s="28" t="s">
        <v>225</v>
      </c>
      <c r="G181" s="28" t="s">
        <v>289</v>
      </c>
      <c r="H181" s="19">
        <v>1974</v>
      </c>
      <c r="I181" s="19">
        <v>305.2</v>
      </c>
      <c r="J181" s="241" t="s">
        <v>11</v>
      </c>
      <c r="K181" s="242" t="s">
        <v>11</v>
      </c>
      <c r="L181" s="241">
        <v>2027</v>
      </c>
      <c r="M181" s="24"/>
      <c r="N181" s="24"/>
      <c r="O181" s="9"/>
      <c r="P181" s="230"/>
      <c r="Q181" s="229" t="s">
        <v>419</v>
      </c>
      <c r="R181" s="153"/>
      <c r="S181" s="9"/>
      <c r="T181" s="7"/>
      <c r="U181" s="7"/>
      <c r="V181" s="7"/>
      <c r="W181" s="7"/>
      <c r="X181" s="9"/>
      <c r="Y181" s="9"/>
      <c r="Z181" s="9"/>
      <c r="AA181" s="9"/>
      <c r="AB181" s="9"/>
      <c r="AC181" s="7"/>
      <c r="AD181" s="7"/>
      <c r="AE181" s="7"/>
      <c r="AF181" s="7"/>
      <c r="AG181" s="9"/>
      <c r="AH181" s="9"/>
      <c r="AI181" s="9"/>
      <c r="AJ181" s="9"/>
      <c r="AK181" s="9"/>
      <c r="AL181" s="7"/>
      <c r="AM181" s="8"/>
      <c r="AN181" s="7"/>
      <c r="AO181" s="7"/>
      <c r="AP181" s="9"/>
      <c r="AQ181" s="9"/>
      <c r="AR181" s="9"/>
      <c r="AS181" s="9"/>
      <c r="AT181" s="9"/>
      <c r="AU181" s="7"/>
      <c r="AV181" s="8"/>
    </row>
    <row r="182" spans="1:48" s="2" customFormat="1" ht="62.25" customHeight="1" x14ac:dyDescent="0.25">
      <c r="A182" s="218">
        <f t="shared" si="4"/>
        <v>155</v>
      </c>
      <c r="B182" s="19">
        <v>1</v>
      </c>
      <c r="C182" s="24" t="s">
        <v>226</v>
      </c>
      <c r="D182" s="180" t="s">
        <v>226</v>
      </c>
      <c r="E182" s="28" t="s">
        <v>227</v>
      </c>
      <c r="F182" s="28" t="s">
        <v>228</v>
      </c>
      <c r="G182" s="28" t="s">
        <v>29</v>
      </c>
      <c r="H182" s="19">
        <v>1985</v>
      </c>
      <c r="I182" s="19">
        <v>212.7</v>
      </c>
      <c r="J182" s="241" t="s">
        <v>11</v>
      </c>
      <c r="K182" s="242" t="s">
        <v>11</v>
      </c>
      <c r="L182" s="241">
        <v>2026</v>
      </c>
      <c r="M182" s="24"/>
      <c r="N182" s="24" t="s">
        <v>33</v>
      </c>
      <c r="O182" s="9"/>
      <c r="P182" s="230"/>
      <c r="Q182" s="229" t="s">
        <v>419</v>
      </c>
      <c r="R182" s="153"/>
      <c r="S182" s="9"/>
      <c r="T182" s="7"/>
      <c r="U182" s="7"/>
      <c r="V182" s="7"/>
      <c r="W182" s="7"/>
      <c r="X182" s="9"/>
      <c r="Y182" s="9"/>
      <c r="Z182" s="9"/>
      <c r="AA182" s="9"/>
      <c r="AB182" s="9"/>
      <c r="AC182" s="7"/>
      <c r="AD182" s="7"/>
      <c r="AE182" s="7"/>
      <c r="AF182" s="7"/>
      <c r="AG182" s="9"/>
      <c r="AH182" s="9"/>
      <c r="AI182" s="9"/>
      <c r="AJ182" s="9"/>
      <c r="AK182" s="9"/>
      <c r="AL182" s="7"/>
      <c r="AM182" s="8"/>
      <c r="AN182" s="7"/>
      <c r="AO182" s="7"/>
      <c r="AP182" s="9"/>
      <c r="AQ182" s="9"/>
      <c r="AR182" s="9"/>
      <c r="AS182" s="9"/>
      <c r="AT182" s="9"/>
      <c r="AU182" s="7"/>
      <c r="AV182" s="8"/>
    </row>
    <row r="183" spans="1:48" s="2" customFormat="1" ht="68.25" customHeight="1" x14ac:dyDescent="0.25">
      <c r="A183" s="218">
        <f t="shared" si="4"/>
        <v>156</v>
      </c>
      <c r="B183" s="19">
        <v>1</v>
      </c>
      <c r="C183" s="164" t="s">
        <v>234</v>
      </c>
      <c r="D183" s="180" t="s">
        <v>234</v>
      </c>
      <c r="E183" s="28" t="s">
        <v>4</v>
      </c>
      <c r="F183" s="28" t="s">
        <v>229</v>
      </c>
      <c r="G183" s="28" t="s">
        <v>287</v>
      </c>
      <c r="H183" s="19">
        <v>1999</v>
      </c>
      <c r="I183" s="19">
        <v>50</v>
      </c>
      <c r="J183" s="241" t="s">
        <v>11</v>
      </c>
      <c r="K183" s="242" t="s">
        <v>11</v>
      </c>
      <c r="L183" s="241">
        <v>2026</v>
      </c>
      <c r="M183" s="24"/>
      <c r="N183" s="24"/>
      <c r="O183" s="9"/>
      <c r="P183" s="230"/>
      <c r="Q183" s="229" t="s">
        <v>419</v>
      </c>
      <c r="R183" s="153"/>
      <c r="S183" s="9"/>
      <c r="T183" s="7"/>
      <c r="U183" s="7"/>
      <c r="V183" s="7"/>
      <c r="W183" s="7"/>
      <c r="X183" s="9"/>
      <c r="Y183" s="9"/>
      <c r="Z183" s="9"/>
      <c r="AA183" s="9"/>
      <c r="AB183" s="9"/>
      <c r="AC183" s="7"/>
      <c r="AD183" s="7"/>
      <c r="AE183" s="7"/>
      <c r="AF183" s="7"/>
      <c r="AG183" s="9"/>
      <c r="AH183" s="9"/>
      <c r="AI183" s="9"/>
      <c r="AJ183" s="9"/>
      <c r="AK183" s="9"/>
      <c r="AL183" s="7"/>
      <c r="AM183" s="8"/>
      <c r="AN183" s="7"/>
      <c r="AO183" s="7"/>
      <c r="AP183" s="9"/>
      <c r="AQ183" s="9"/>
      <c r="AR183" s="9"/>
      <c r="AS183" s="9"/>
      <c r="AT183" s="9"/>
      <c r="AU183" s="7"/>
      <c r="AV183" s="8"/>
    </row>
    <row r="184" spans="1:48" s="2" customFormat="1" ht="68.25" customHeight="1" x14ac:dyDescent="0.25">
      <c r="A184" s="218">
        <f t="shared" si="4"/>
        <v>157</v>
      </c>
      <c r="B184" s="156">
        <v>1</v>
      </c>
      <c r="C184" s="164" t="s">
        <v>321</v>
      </c>
      <c r="D184" s="182" t="s">
        <v>230</v>
      </c>
      <c r="E184" s="28" t="s">
        <v>6</v>
      </c>
      <c r="F184" s="28" t="s">
        <v>235</v>
      </c>
      <c r="G184" s="28" t="s">
        <v>32</v>
      </c>
      <c r="H184" s="19">
        <v>1985</v>
      </c>
      <c r="I184" s="19">
        <v>200</v>
      </c>
      <c r="J184" s="241" t="s">
        <v>11</v>
      </c>
      <c r="K184" s="242" t="s">
        <v>11</v>
      </c>
      <c r="L184" s="241">
        <v>2027</v>
      </c>
      <c r="M184" s="24"/>
      <c r="N184" s="24"/>
      <c r="O184" s="9"/>
      <c r="P184" s="230"/>
      <c r="Q184" s="229" t="s">
        <v>419</v>
      </c>
      <c r="R184" s="153"/>
      <c r="S184" s="9"/>
      <c r="T184" s="7"/>
      <c r="U184" s="7"/>
      <c r="V184" s="7"/>
      <c r="W184" s="7"/>
      <c r="X184" s="9"/>
      <c r="Y184" s="9"/>
      <c r="Z184" s="9"/>
      <c r="AA184" s="9"/>
      <c r="AB184" s="9"/>
      <c r="AC184" s="7"/>
      <c r="AD184" s="7"/>
      <c r="AE184" s="7"/>
      <c r="AF184" s="7"/>
      <c r="AG184" s="9"/>
      <c r="AH184" s="9"/>
      <c r="AI184" s="9"/>
      <c r="AJ184" s="9"/>
      <c r="AK184" s="9"/>
      <c r="AL184" s="7"/>
      <c r="AM184" s="8"/>
      <c r="AN184" s="7"/>
      <c r="AO184" s="7"/>
      <c r="AP184" s="9"/>
      <c r="AQ184" s="9"/>
      <c r="AR184" s="9"/>
      <c r="AS184" s="9"/>
      <c r="AT184" s="9"/>
      <c r="AU184" s="7"/>
      <c r="AV184" s="8"/>
    </row>
    <row r="185" spans="1:48" s="2" customFormat="1" ht="65.25" customHeight="1" x14ac:dyDescent="0.25">
      <c r="A185" s="218">
        <f t="shared" si="4"/>
        <v>158</v>
      </c>
      <c r="B185" s="156">
        <v>1</v>
      </c>
      <c r="C185" s="166"/>
      <c r="D185" s="184"/>
      <c r="E185" s="28" t="s">
        <v>7</v>
      </c>
      <c r="F185" s="28" t="s">
        <v>236</v>
      </c>
      <c r="G185" s="28" t="s">
        <v>284</v>
      </c>
      <c r="H185" s="19">
        <v>1985</v>
      </c>
      <c r="I185" s="19">
        <v>80</v>
      </c>
      <c r="J185" s="241" t="s">
        <v>11</v>
      </c>
      <c r="K185" s="242" t="s">
        <v>11</v>
      </c>
      <c r="L185" s="241">
        <v>2027</v>
      </c>
      <c r="M185" s="24"/>
      <c r="N185" s="24"/>
      <c r="O185" s="9"/>
      <c r="P185" s="230"/>
      <c r="Q185" s="229" t="s">
        <v>419</v>
      </c>
      <c r="R185" s="153"/>
      <c r="S185" s="9"/>
      <c r="T185" s="7"/>
      <c r="U185" s="7"/>
      <c r="V185" s="7"/>
      <c r="W185" s="7"/>
      <c r="X185" s="9"/>
      <c r="Y185" s="9"/>
      <c r="Z185" s="9"/>
      <c r="AA185" s="9"/>
      <c r="AB185" s="9"/>
      <c r="AC185" s="7"/>
      <c r="AD185" s="7"/>
      <c r="AE185" s="7"/>
      <c r="AF185" s="7"/>
      <c r="AG185" s="9"/>
      <c r="AH185" s="9"/>
      <c r="AI185" s="9"/>
      <c r="AJ185" s="9"/>
      <c r="AK185" s="9"/>
      <c r="AL185" s="7"/>
      <c r="AM185" s="8"/>
      <c r="AN185" s="7"/>
      <c r="AO185" s="7"/>
      <c r="AP185" s="9"/>
      <c r="AQ185" s="9"/>
      <c r="AR185" s="9"/>
      <c r="AS185" s="9"/>
      <c r="AT185" s="9"/>
      <c r="AU185" s="7"/>
      <c r="AV185" s="8"/>
    </row>
    <row r="186" spans="1:48" s="2" customFormat="1" ht="61.5" customHeight="1" x14ac:dyDescent="0.25">
      <c r="A186" s="218">
        <f t="shared" si="4"/>
        <v>159</v>
      </c>
      <c r="B186" s="156">
        <v>1</v>
      </c>
      <c r="C186" s="166"/>
      <c r="D186" s="184"/>
      <c r="E186" s="28" t="s">
        <v>5</v>
      </c>
      <c r="F186" s="28" t="s">
        <v>236</v>
      </c>
      <c r="G186" s="28" t="s">
        <v>32</v>
      </c>
      <c r="H186" s="19">
        <v>1966</v>
      </c>
      <c r="I186" s="19">
        <v>50</v>
      </c>
      <c r="J186" s="241" t="s">
        <v>11</v>
      </c>
      <c r="K186" s="242" t="s">
        <v>11</v>
      </c>
      <c r="L186" s="241">
        <v>2027</v>
      </c>
      <c r="M186" s="24"/>
      <c r="N186" s="24"/>
      <c r="O186" s="9"/>
      <c r="P186" s="230"/>
      <c r="Q186" s="229" t="s">
        <v>419</v>
      </c>
      <c r="R186" s="153"/>
      <c r="S186" s="9"/>
      <c r="T186" s="7"/>
      <c r="U186" s="7"/>
      <c r="V186" s="7"/>
      <c r="W186" s="7"/>
      <c r="X186" s="9"/>
      <c r="Y186" s="9"/>
      <c r="Z186" s="9"/>
      <c r="AA186" s="9"/>
      <c r="AB186" s="9"/>
      <c r="AC186" s="7"/>
      <c r="AD186" s="7"/>
      <c r="AE186" s="7"/>
      <c r="AF186" s="7"/>
      <c r="AG186" s="9"/>
      <c r="AH186" s="9"/>
      <c r="AI186" s="9"/>
      <c r="AJ186" s="9"/>
      <c r="AK186" s="9"/>
      <c r="AL186" s="7"/>
      <c r="AM186" s="8"/>
      <c r="AN186" s="7"/>
      <c r="AO186" s="7"/>
      <c r="AP186" s="9"/>
      <c r="AQ186" s="9"/>
      <c r="AR186" s="9"/>
      <c r="AS186" s="9"/>
      <c r="AT186" s="9"/>
      <c r="AU186" s="7"/>
      <c r="AV186" s="8"/>
    </row>
    <row r="187" spans="1:48" s="2" customFormat="1" ht="60.75" customHeight="1" x14ac:dyDescent="0.25">
      <c r="A187" s="218">
        <f t="shared" si="4"/>
        <v>160</v>
      </c>
      <c r="B187" s="156">
        <v>1</v>
      </c>
      <c r="C187" s="166"/>
      <c r="D187" s="184"/>
      <c r="E187" s="28" t="s">
        <v>44</v>
      </c>
      <c r="F187" s="28" t="s">
        <v>236</v>
      </c>
      <c r="G187" s="28" t="s">
        <v>282</v>
      </c>
      <c r="H187" s="19">
        <v>1989</v>
      </c>
      <c r="I187" s="19">
        <v>20</v>
      </c>
      <c r="J187" s="241" t="s">
        <v>11</v>
      </c>
      <c r="K187" s="242" t="s">
        <v>11</v>
      </c>
      <c r="L187" s="241">
        <v>2027</v>
      </c>
      <c r="M187" s="24"/>
      <c r="N187" s="24"/>
      <c r="O187" s="9"/>
      <c r="P187" s="230"/>
      <c r="Q187" s="229" t="s">
        <v>419</v>
      </c>
      <c r="R187" s="153"/>
      <c r="S187" s="9"/>
      <c r="T187" s="7"/>
      <c r="U187" s="7"/>
      <c r="V187" s="7"/>
      <c r="W187" s="7"/>
      <c r="X187" s="9"/>
      <c r="Y187" s="9"/>
      <c r="Z187" s="9"/>
      <c r="AA187" s="9"/>
      <c r="AB187" s="9"/>
      <c r="AC187" s="7"/>
      <c r="AD187" s="7"/>
      <c r="AE187" s="7"/>
      <c r="AF187" s="7"/>
      <c r="AG187" s="9"/>
      <c r="AH187" s="9"/>
      <c r="AI187" s="9"/>
      <c r="AJ187" s="9"/>
      <c r="AK187" s="9"/>
      <c r="AL187" s="7"/>
      <c r="AM187" s="8"/>
      <c r="AN187" s="7"/>
      <c r="AO187" s="7"/>
      <c r="AP187" s="9"/>
      <c r="AQ187" s="9"/>
      <c r="AR187" s="9"/>
      <c r="AS187" s="9"/>
      <c r="AT187" s="9"/>
      <c r="AU187" s="7"/>
      <c r="AV187" s="8"/>
    </row>
    <row r="188" spans="1:48" s="2" customFormat="1" ht="54.75" customHeight="1" x14ac:dyDescent="0.25">
      <c r="A188" s="218">
        <f t="shared" si="4"/>
        <v>161</v>
      </c>
      <c r="B188" s="156">
        <v>1</v>
      </c>
      <c r="C188" s="166"/>
      <c r="D188" s="184"/>
      <c r="E188" s="28" t="s">
        <v>48</v>
      </c>
      <c r="F188" s="28" t="s">
        <v>236</v>
      </c>
      <c r="G188" s="28" t="s">
        <v>283</v>
      </c>
      <c r="H188" s="19">
        <v>1985</v>
      </c>
      <c r="I188" s="19">
        <v>30</v>
      </c>
      <c r="J188" s="241" t="s">
        <v>11</v>
      </c>
      <c r="K188" s="242" t="s">
        <v>11</v>
      </c>
      <c r="L188" s="241">
        <v>2027</v>
      </c>
      <c r="M188" s="24"/>
      <c r="N188" s="24"/>
      <c r="O188" s="9"/>
      <c r="P188" s="230"/>
      <c r="Q188" s="229" t="s">
        <v>419</v>
      </c>
      <c r="R188" s="153"/>
      <c r="S188" s="9"/>
      <c r="T188" s="7"/>
      <c r="U188" s="7"/>
      <c r="V188" s="7"/>
      <c r="W188" s="7"/>
      <c r="X188" s="9"/>
      <c r="Y188" s="9"/>
      <c r="Z188" s="9"/>
      <c r="AA188" s="9"/>
      <c r="AB188" s="9"/>
      <c r="AC188" s="7"/>
      <c r="AD188" s="7"/>
      <c r="AE188" s="7"/>
      <c r="AF188" s="7"/>
      <c r="AG188" s="9"/>
      <c r="AH188" s="9"/>
      <c r="AI188" s="9"/>
      <c r="AJ188" s="9"/>
      <c r="AK188" s="9"/>
      <c r="AL188" s="7"/>
      <c r="AM188" s="8"/>
      <c r="AN188" s="7"/>
      <c r="AO188" s="7"/>
      <c r="AP188" s="9"/>
      <c r="AQ188" s="9"/>
      <c r="AR188" s="9"/>
      <c r="AS188" s="9"/>
      <c r="AT188" s="9"/>
      <c r="AU188" s="7"/>
      <c r="AV188" s="8"/>
    </row>
    <row r="189" spans="1:48" s="2" customFormat="1" ht="54.75" customHeight="1" x14ac:dyDescent="0.25">
      <c r="A189" s="218">
        <f t="shared" si="4"/>
        <v>162</v>
      </c>
      <c r="B189" s="156">
        <v>1</v>
      </c>
      <c r="C189" s="166"/>
      <c r="D189" s="184"/>
      <c r="E189" s="28" t="s">
        <v>40</v>
      </c>
      <c r="F189" s="28" t="s">
        <v>236</v>
      </c>
      <c r="G189" s="28" t="s">
        <v>282</v>
      </c>
      <c r="H189" s="19">
        <v>1981</v>
      </c>
      <c r="I189" s="19">
        <v>1200</v>
      </c>
      <c r="J189" s="241" t="s">
        <v>11</v>
      </c>
      <c r="K189" s="242" t="s">
        <v>11</v>
      </c>
      <c r="L189" s="241">
        <v>2027</v>
      </c>
      <c r="M189" s="24"/>
      <c r="N189" s="24"/>
      <c r="O189" s="9"/>
      <c r="P189" s="230"/>
      <c r="Q189" s="229" t="s">
        <v>419</v>
      </c>
      <c r="R189" s="153"/>
      <c r="S189" s="9"/>
      <c r="T189" s="7"/>
      <c r="U189" s="7"/>
      <c r="V189" s="7"/>
      <c r="W189" s="7"/>
      <c r="X189" s="9"/>
      <c r="Y189" s="9"/>
      <c r="Z189" s="9"/>
      <c r="AA189" s="9"/>
      <c r="AB189" s="9"/>
      <c r="AC189" s="7"/>
      <c r="AD189" s="7"/>
      <c r="AE189" s="7"/>
      <c r="AF189" s="7"/>
      <c r="AG189" s="9"/>
      <c r="AH189" s="9"/>
      <c r="AI189" s="9"/>
      <c r="AJ189" s="9"/>
      <c r="AK189" s="9"/>
      <c r="AL189" s="7"/>
      <c r="AM189" s="8"/>
      <c r="AN189" s="7"/>
      <c r="AO189" s="7"/>
      <c r="AP189" s="9"/>
      <c r="AQ189" s="9"/>
      <c r="AR189" s="9"/>
      <c r="AS189" s="9"/>
      <c r="AT189" s="9"/>
      <c r="AU189" s="7"/>
      <c r="AV189" s="8"/>
    </row>
    <row r="190" spans="1:48" s="2" customFormat="1" ht="54.75" customHeight="1" x14ac:dyDescent="0.25">
      <c r="A190" s="218">
        <f t="shared" si="4"/>
        <v>163</v>
      </c>
      <c r="B190" s="156">
        <v>1</v>
      </c>
      <c r="C190" s="166"/>
      <c r="D190" s="184"/>
      <c r="E190" s="28" t="s">
        <v>41</v>
      </c>
      <c r="F190" s="28" t="s">
        <v>236</v>
      </c>
      <c r="G190" s="28" t="s">
        <v>282</v>
      </c>
      <c r="H190" s="19">
        <v>1982</v>
      </c>
      <c r="I190" s="19">
        <v>800</v>
      </c>
      <c r="J190" s="241" t="s">
        <v>11</v>
      </c>
      <c r="K190" s="242" t="s">
        <v>11</v>
      </c>
      <c r="L190" s="241">
        <v>2027</v>
      </c>
      <c r="M190" s="24"/>
      <c r="N190" s="24"/>
      <c r="O190" s="9"/>
      <c r="P190" s="230"/>
      <c r="Q190" s="229" t="s">
        <v>419</v>
      </c>
      <c r="R190" s="153"/>
      <c r="S190" s="9"/>
      <c r="T190" s="7"/>
      <c r="U190" s="7"/>
      <c r="V190" s="7"/>
      <c r="W190" s="7"/>
      <c r="X190" s="9"/>
      <c r="Y190" s="9"/>
      <c r="Z190" s="9"/>
      <c r="AA190" s="9"/>
      <c r="AB190" s="9"/>
      <c r="AC190" s="7"/>
      <c r="AD190" s="7"/>
      <c r="AE190" s="7"/>
      <c r="AF190" s="7"/>
      <c r="AG190" s="9"/>
      <c r="AH190" s="9"/>
      <c r="AI190" s="9"/>
      <c r="AJ190" s="9"/>
      <c r="AK190" s="9"/>
      <c r="AL190" s="7"/>
      <c r="AM190" s="8"/>
      <c r="AN190" s="7"/>
      <c r="AO190" s="7"/>
      <c r="AP190" s="9"/>
      <c r="AQ190" s="9"/>
      <c r="AR190" s="9"/>
      <c r="AS190" s="9"/>
      <c r="AT190" s="9"/>
      <c r="AU190" s="7"/>
      <c r="AV190" s="8"/>
    </row>
    <row r="191" spans="1:48" s="2" customFormat="1" ht="54.75" customHeight="1" x14ac:dyDescent="0.25">
      <c r="A191" s="218">
        <f t="shared" si="4"/>
        <v>164</v>
      </c>
      <c r="B191" s="156">
        <v>1</v>
      </c>
      <c r="C191" s="166"/>
      <c r="D191" s="184"/>
      <c r="E191" s="28" t="s">
        <v>42</v>
      </c>
      <c r="F191" s="28" t="s">
        <v>237</v>
      </c>
      <c r="G191" s="28" t="s">
        <v>290</v>
      </c>
      <c r="H191" s="19">
        <v>1975</v>
      </c>
      <c r="I191" s="19">
        <v>0</v>
      </c>
      <c r="J191" s="241" t="s">
        <v>11</v>
      </c>
      <c r="K191" s="242" t="s">
        <v>11</v>
      </c>
      <c r="L191" s="241">
        <v>2027</v>
      </c>
      <c r="M191" s="24"/>
      <c r="N191" s="24"/>
      <c r="O191" s="9"/>
      <c r="P191" s="230"/>
      <c r="Q191" s="229" t="s">
        <v>419</v>
      </c>
      <c r="R191" s="153"/>
      <c r="S191" s="9"/>
      <c r="T191" s="7"/>
      <c r="U191" s="7"/>
      <c r="V191" s="7"/>
      <c r="W191" s="7"/>
      <c r="X191" s="9"/>
      <c r="Y191" s="9"/>
      <c r="Z191" s="9"/>
      <c r="AA191" s="9"/>
      <c r="AB191" s="9"/>
      <c r="AC191" s="7"/>
      <c r="AD191" s="7"/>
      <c r="AE191" s="7"/>
      <c r="AF191" s="7"/>
      <c r="AG191" s="9"/>
      <c r="AH191" s="9"/>
      <c r="AI191" s="9"/>
      <c r="AJ191" s="9"/>
      <c r="AK191" s="9"/>
      <c r="AL191" s="7"/>
      <c r="AM191" s="8"/>
      <c r="AN191" s="7"/>
      <c r="AO191" s="7"/>
      <c r="AP191" s="9"/>
      <c r="AQ191" s="9"/>
      <c r="AR191" s="9"/>
      <c r="AS191" s="9"/>
      <c r="AT191" s="9"/>
      <c r="AU191" s="7"/>
      <c r="AV191" s="8"/>
    </row>
    <row r="192" spans="1:48" s="2" customFormat="1" ht="54.75" customHeight="1" x14ac:dyDescent="0.25">
      <c r="A192" s="218">
        <f t="shared" si="4"/>
        <v>165</v>
      </c>
      <c r="B192" s="156">
        <v>1</v>
      </c>
      <c r="C192" s="166"/>
      <c r="D192" s="184"/>
      <c r="E192" s="28" t="s">
        <v>43</v>
      </c>
      <c r="F192" s="28" t="s">
        <v>238</v>
      </c>
      <c r="G192" s="28" t="s">
        <v>282</v>
      </c>
      <c r="H192" s="19">
        <v>1976</v>
      </c>
      <c r="I192" s="19">
        <v>1000</v>
      </c>
      <c r="J192" s="241" t="s">
        <v>11</v>
      </c>
      <c r="K192" s="242" t="s">
        <v>11</v>
      </c>
      <c r="L192" s="241">
        <v>2027</v>
      </c>
      <c r="M192" s="24"/>
      <c r="N192" s="24"/>
      <c r="O192" s="9"/>
      <c r="P192" s="230"/>
      <c r="Q192" s="229" t="s">
        <v>419</v>
      </c>
      <c r="R192" s="153"/>
      <c r="S192" s="9"/>
      <c r="T192" s="7"/>
      <c r="U192" s="7"/>
      <c r="V192" s="7"/>
      <c r="W192" s="7"/>
      <c r="X192" s="9"/>
      <c r="Y192" s="9"/>
      <c r="Z192" s="9"/>
      <c r="AA192" s="9"/>
      <c r="AB192" s="9"/>
      <c r="AC192" s="7"/>
      <c r="AD192" s="7"/>
      <c r="AE192" s="7"/>
      <c r="AF192" s="7"/>
      <c r="AG192" s="9"/>
      <c r="AH192" s="9"/>
      <c r="AI192" s="9"/>
      <c r="AJ192" s="9"/>
      <c r="AK192" s="9"/>
      <c r="AL192" s="7"/>
      <c r="AM192" s="8"/>
      <c r="AN192" s="7"/>
      <c r="AO192" s="7"/>
      <c r="AP192" s="9"/>
      <c r="AQ192" s="9"/>
      <c r="AR192" s="9"/>
      <c r="AS192" s="9"/>
      <c r="AT192" s="9"/>
      <c r="AU192" s="7"/>
      <c r="AV192" s="8"/>
    </row>
    <row r="193" spans="1:48" s="2" customFormat="1" ht="54.75" customHeight="1" x14ac:dyDescent="0.25">
      <c r="A193" s="218">
        <f t="shared" si="4"/>
        <v>166</v>
      </c>
      <c r="B193" s="156">
        <v>1</v>
      </c>
      <c r="C193" s="166"/>
      <c r="D193" s="184"/>
      <c r="E193" s="28" t="s">
        <v>8</v>
      </c>
      <c r="F193" s="28" t="s">
        <v>238</v>
      </c>
      <c r="G193" s="28" t="s">
        <v>29</v>
      </c>
      <c r="H193" s="19">
        <v>1980</v>
      </c>
      <c r="I193" s="19">
        <v>130</v>
      </c>
      <c r="J193" s="241" t="s">
        <v>11</v>
      </c>
      <c r="K193" s="242" t="s">
        <v>11</v>
      </c>
      <c r="L193" s="241">
        <v>2027</v>
      </c>
      <c r="M193" s="24"/>
      <c r="N193" s="24"/>
      <c r="O193" s="9"/>
      <c r="P193" s="230"/>
      <c r="Q193" s="229" t="s">
        <v>419</v>
      </c>
      <c r="R193" s="153"/>
      <c r="S193" s="9"/>
      <c r="T193" s="7"/>
      <c r="U193" s="7"/>
      <c r="V193" s="7"/>
      <c r="W193" s="7"/>
      <c r="X193" s="9"/>
      <c r="Y193" s="9"/>
      <c r="Z193" s="9"/>
      <c r="AA193" s="9"/>
      <c r="AB193" s="9"/>
      <c r="AC193" s="7"/>
      <c r="AD193" s="7"/>
      <c r="AE193" s="7"/>
      <c r="AF193" s="7"/>
      <c r="AG193" s="9"/>
      <c r="AH193" s="9"/>
      <c r="AI193" s="9"/>
      <c r="AJ193" s="9"/>
      <c r="AK193" s="9"/>
      <c r="AL193" s="7"/>
      <c r="AM193" s="8"/>
      <c r="AN193" s="7"/>
      <c r="AO193" s="7"/>
      <c r="AP193" s="9"/>
      <c r="AQ193" s="9"/>
      <c r="AR193" s="9"/>
      <c r="AS193" s="9"/>
      <c r="AT193" s="9"/>
      <c r="AU193" s="7"/>
      <c r="AV193" s="8"/>
    </row>
    <row r="194" spans="1:48" s="2" customFormat="1" ht="54.75" customHeight="1" x14ac:dyDescent="0.25">
      <c r="A194" s="218">
        <f t="shared" si="4"/>
        <v>167</v>
      </c>
      <c r="B194" s="156">
        <v>1</v>
      </c>
      <c r="C194" s="166"/>
      <c r="D194" s="184"/>
      <c r="E194" s="28" t="s">
        <v>239</v>
      </c>
      <c r="F194" s="28" t="s">
        <v>238</v>
      </c>
      <c r="G194" s="28" t="s">
        <v>282</v>
      </c>
      <c r="H194" s="19">
        <v>1978</v>
      </c>
      <c r="I194" s="19">
        <v>1000</v>
      </c>
      <c r="J194" s="241" t="s">
        <v>11</v>
      </c>
      <c r="K194" s="242" t="s">
        <v>11</v>
      </c>
      <c r="L194" s="241">
        <v>2027</v>
      </c>
      <c r="M194" s="24"/>
      <c r="N194" s="24"/>
      <c r="O194" s="9"/>
      <c r="P194" s="230"/>
      <c r="Q194" s="229" t="s">
        <v>419</v>
      </c>
      <c r="R194" s="153"/>
      <c r="S194" s="9"/>
      <c r="T194" s="7"/>
      <c r="U194" s="7"/>
      <c r="V194" s="7"/>
      <c r="W194" s="7"/>
      <c r="X194" s="9"/>
      <c r="Y194" s="9"/>
      <c r="Z194" s="9"/>
      <c r="AA194" s="9"/>
      <c r="AB194" s="9"/>
      <c r="AC194" s="7"/>
      <c r="AD194" s="7"/>
      <c r="AE194" s="7"/>
      <c r="AF194" s="7"/>
      <c r="AG194" s="9"/>
      <c r="AH194" s="9"/>
      <c r="AI194" s="9"/>
      <c r="AJ194" s="9"/>
      <c r="AK194" s="9"/>
      <c r="AL194" s="7"/>
      <c r="AM194" s="8"/>
      <c r="AN194" s="7"/>
      <c r="AO194" s="7"/>
      <c r="AP194" s="9"/>
      <c r="AQ194" s="9"/>
      <c r="AR194" s="9"/>
      <c r="AS194" s="9"/>
      <c r="AT194" s="9"/>
      <c r="AU194" s="7"/>
      <c r="AV194" s="8"/>
    </row>
    <row r="195" spans="1:48" s="2" customFormat="1" ht="54.75" customHeight="1" x14ac:dyDescent="0.25">
      <c r="A195" s="218">
        <f t="shared" si="4"/>
        <v>168</v>
      </c>
      <c r="B195" s="156">
        <v>1</v>
      </c>
      <c r="C195" s="166"/>
      <c r="D195" s="184"/>
      <c r="E195" s="28" t="s">
        <v>40</v>
      </c>
      <c r="F195" s="28" t="s">
        <v>317</v>
      </c>
      <c r="G195" s="28" t="s">
        <v>282</v>
      </c>
      <c r="H195" s="19">
        <v>1975</v>
      </c>
      <c r="I195" s="19"/>
      <c r="J195" s="241" t="s">
        <v>11</v>
      </c>
      <c r="K195" s="242" t="s">
        <v>11</v>
      </c>
      <c r="L195" s="241">
        <v>2027</v>
      </c>
      <c r="M195" s="24"/>
      <c r="N195" s="24"/>
      <c r="O195" s="9"/>
      <c r="P195" s="230"/>
      <c r="Q195" s="229" t="s">
        <v>419</v>
      </c>
      <c r="R195" s="153"/>
      <c r="S195" s="9"/>
      <c r="T195" s="7"/>
      <c r="U195" s="7"/>
      <c r="V195" s="7"/>
      <c r="W195" s="7"/>
      <c r="X195" s="9"/>
      <c r="Y195" s="9"/>
      <c r="Z195" s="9"/>
      <c r="AA195" s="9"/>
      <c r="AB195" s="9"/>
      <c r="AC195" s="7"/>
      <c r="AD195" s="7"/>
      <c r="AE195" s="7"/>
      <c r="AF195" s="7"/>
      <c r="AG195" s="9"/>
      <c r="AH195" s="9"/>
      <c r="AI195" s="9"/>
      <c r="AJ195" s="9"/>
      <c r="AK195" s="9"/>
      <c r="AL195" s="7"/>
      <c r="AM195" s="8"/>
      <c r="AN195" s="7"/>
      <c r="AO195" s="7"/>
      <c r="AP195" s="9"/>
      <c r="AQ195" s="9"/>
      <c r="AR195" s="9"/>
      <c r="AS195" s="9"/>
      <c r="AT195" s="9"/>
      <c r="AU195" s="7"/>
      <c r="AV195" s="8"/>
    </row>
    <row r="196" spans="1:48" s="2" customFormat="1" ht="54.75" customHeight="1" x14ac:dyDescent="0.25">
      <c r="A196" s="218">
        <f t="shared" si="4"/>
        <v>169</v>
      </c>
      <c r="B196" s="156">
        <v>1</v>
      </c>
      <c r="C196" s="166"/>
      <c r="D196" s="184"/>
      <c r="E196" s="28" t="s">
        <v>318</v>
      </c>
      <c r="F196" s="28" t="s">
        <v>320</v>
      </c>
      <c r="G196" s="28" t="s">
        <v>282</v>
      </c>
      <c r="H196" s="19">
        <v>1975</v>
      </c>
      <c r="I196" s="19"/>
      <c r="J196" s="241" t="s">
        <v>11</v>
      </c>
      <c r="K196" s="242" t="s">
        <v>11</v>
      </c>
      <c r="L196" s="241">
        <v>2027</v>
      </c>
      <c r="M196" s="24"/>
      <c r="N196" s="24"/>
      <c r="O196" s="9"/>
      <c r="P196" s="230"/>
      <c r="Q196" s="229" t="s">
        <v>419</v>
      </c>
      <c r="R196" s="153"/>
      <c r="S196" s="9"/>
      <c r="T196" s="7"/>
      <c r="U196" s="7"/>
      <c r="V196" s="7"/>
      <c r="W196" s="7"/>
      <c r="X196" s="9"/>
      <c r="Y196" s="9"/>
      <c r="Z196" s="9"/>
      <c r="AA196" s="9"/>
      <c r="AB196" s="9"/>
      <c r="AC196" s="7"/>
      <c r="AD196" s="7"/>
      <c r="AE196" s="7"/>
      <c r="AF196" s="7"/>
      <c r="AG196" s="9"/>
      <c r="AH196" s="9"/>
      <c r="AI196" s="9"/>
      <c r="AJ196" s="9"/>
      <c r="AK196" s="9"/>
      <c r="AL196" s="7"/>
      <c r="AM196" s="8"/>
      <c r="AN196" s="7"/>
      <c r="AO196" s="7"/>
      <c r="AP196" s="9"/>
      <c r="AQ196" s="9"/>
      <c r="AR196" s="9"/>
      <c r="AS196" s="9"/>
      <c r="AT196" s="9"/>
      <c r="AU196" s="7"/>
      <c r="AV196" s="8"/>
    </row>
    <row r="197" spans="1:48" s="2" customFormat="1" ht="54.75" customHeight="1" x14ac:dyDescent="0.25">
      <c r="A197" s="218">
        <f t="shared" si="4"/>
        <v>170</v>
      </c>
      <c r="B197" s="156">
        <v>1</v>
      </c>
      <c r="C197" s="166"/>
      <c r="D197" s="184"/>
      <c r="E197" s="28" t="s">
        <v>318</v>
      </c>
      <c r="F197" s="28" t="s">
        <v>320</v>
      </c>
      <c r="G197" s="28" t="s">
        <v>282</v>
      </c>
      <c r="H197" s="19">
        <v>1975</v>
      </c>
      <c r="I197" s="19"/>
      <c r="J197" s="241" t="s">
        <v>11</v>
      </c>
      <c r="K197" s="242" t="s">
        <v>11</v>
      </c>
      <c r="L197" s="241">
        <v>2027</v>
      </c>
      <c r="M197" s="24"/>
      <c r="N197" s="24"/>
      <c r="O197" s="9"/>
      <c r="P197" s="230"/>
      <c r="Q197" s="229" t="s">
        <v>419</v>
      </c>
      <c r="R197" s="153"/>
      <c r="S197" s="9"/>
      <c r="T197" s="7"/>
      <c r="U197" s="7"/>
      <c r="V197" s="7"/>
      <c r="W197" s="7"/>
      <c r="X197" s="9"/>
      <c r="Y197" s="9"/>
      <c r="Z197" s="9"/>
      <c r="AA197" s="9"/>
      <c r="AB197" s="9"/>
      <c r="AC197" s="7"/>
      <c r="AD197" s="7"/>
      <c r="AE197" s="7"/>
      <c r="AF197" s="7"/>
      <c r="AG197" s="9"/>
      <c r="AH197" s="9"/>
      <c r="AI197" s="9"/>
      <c r="AJ197" s="9"/>
      <c r="AK197" s="9"/>
      <c r="AL197" s="7"/>
      <c r="AM197" s="8"/>
      <c r="AN197" s="7"/>
      <c r="AO197" s="7"/>
      <c r="AP197" s="9"/>
      <c r="AQ197" s="9"/>
      <c r="AR197" s="9"/>
      <c r="AS197" s="9"/>
      <c r="AT197" s="9"/>
      <c r="AU197" s="7"/>
      <c r="AV197" s="8"/>
    </row>
    <row r="198" spans="1:48" s="2" customFormat="1" ht="54.75" customHeight="1" x14ac:dyDescent="0.25">
      <c r="A198" s="218">
        <f t="shared" si="4"/>
        <v>171</v>
      </c>
      <c r="B198" s="156">
        <v>1</v>
      </c>
      <c r="C198" s="166"/>
      <c r="D198" s="184"/>
      <c r="E198" s="28" t="s">
        <v>319</v>
      </c>
      <c r="F198" s="28" t="s">
        <v>320</v>
      </c>
      <c r="G198" s="28" t="s">
        <v>282</v>
      </c>
      <c r="H198" s="19">
        <v>1975</v>
      </c>
      <c r="I198" s="19"/>
      <c r="J198" s="241" t="s">
        <v>11</v>
      </c>
      <c r="K198" s="242" t="s">
        <v>11</v>
      </c>
      <c r="L198" s="241">
        <v>2027</v>
      </c>
      <c r="M198" s="24"/>
      <c r="N198" s="24"/>
      <c r="O198" s="9"/>
      <c r="P198" s="230"/>
      <c r="Q198" s="229" t="s">
        <v>419</v>
      </c>
      <c r="R198" s="153"/>
      <c r="S198" s="9"/>
      <c r="T198" s="7"/>
      <c r="U198" s="7"/>
      <c r="V198" s="7"/>
      <c r="W198" s="7"/>
      <c r="X198" s="9"/>
      <c r="Y198" s="9"/>
      <c r="Z198" s="9"/>
      <c r="AA198" s="9"/>
      <c r="AB198" s="9"/>
      <c r="AC198" s="7"/>
      <c r="AD198" s="7"/>
      <c r="AE198" s="7"/>
      <c r="AF198" s="7"/>
      <c r="AG198" s="9"/>
      <c r="AH198" s="9"/>
      <c r="AI198" s="9"/>
      <c r="AJ198" s="9"/>
      <c r="AK198" s="9"/>
      <c r="AL198" s="7"/>
      <c r="AM198" s="8"/>
      <c r="AN198" s="7"/>
      <c r="AO198" s="7"/>
      <c r="AP198" s="9"/>
      <c r="AQ198" s="9"/>
      <c r="AR198" s="9"/>
      <c r="AS198" s="9"/>
      <c r="AT198" s="9"/>
      <c r="AU198" s="7"/>
      <c r="AV198" s="8"/>
    </row>
    <row r="199" spans="1:48" s="2" customFormat="1" ht="54.75" customHeight="1" x14ac:dyDescent="0.25">
      <c r="A199" s="218">
        <f t="shared" si="4"/>
        <v>172</v>
      </c>
      <c r="B199" s="156">
        <v>1</v>
      </c>
      <c r="C199" s="166"/>
      <c r="D199" s="184"/>
      <c r="E199" s="28" t="s">
        <v>457</v>
      </c>
      <c r="F199" s="28" t="s">
        <v>320</v>
      </c>
      <c r="G199" s="28" t="s">
        <v>282</v>
      </c>
      <c r="H199" s="19">
        <v>1975</v>
      </c>
      <c r="I199" s="19"/>
      <c r="J199" s="241" t="s">
        <v>11</v>
      </c>
      <c r="K199" s="242" t="s">
        <v>11</v>
      </c>
      <c r="L199" s="241">
        <v>2027</v>
      </c>
      <c r="M199" s="24"/>
      <c r="N199" s="24"/>
      <c r="O199" s="9"/>
      <c r="P199" s="230"/>
      <c r="Q199" s="229" t="s">
        <v>419</v>
      </c>
      <c r="R199" s="153"/>
      <c r="S199" s="9"/>
      <c r="T199" s="7"/>
      <c r="U199" s="7"/>
      <c r="V199" s="7"/>
      <c r="W199" s="7"/>
      <c r="X199" s="9"/>
      <c r="Y199" s="9"/>
      <c r="Z199" s="9"/>
      <c r="AA199" s="9"/>
      <c r="AB199" s="9"/>
      <c r="AC199" s="7"/>
      <c r="AD199" s="7"/>
      <c r="AE199" s="7"/>
      <c r="AF199" s="7"/>
      <c r="AG199" s="9"/>
      <c r="AH199" s="9"/>
      <c r="AI199" s="9"/>
      <c r="AJ199" s="9"/>
      <c r="AK199" s="9"/>
      <c r="AL199" s="7"/>
      <c r="AM199" s="8"/>
      <c r="AN199" s="7"/>
      <c r="AO199" s="7"/>
      <c r="AP199" s="9"/>
      <c r="AQ199" s="9"/>
      <c r="AR199" s="9"/>
      <c r="AS199" s="9"/>
      <c r="AT199" s="9"/>
      <c r="AU199" s="7"/>
      <c r="AV199" s="8"/>
    </row>
    <row r="200" spans="1:48" s="2" customFormat="1" ht="54.75" customHeight="1" x14ac:dyDescent="0.25">
      <c r="A200" s="218">
        <f t="shared" si="4"/>
        <v>173</v>
      </c>
      <c r="B200" s="156">
        <v>1</v>
      </c>
      <c r="C200" s="166"/>
      <c r="D200" s="184"/>
      <c r="E200" s="28" t="s">
        <v>335</v>
      </c>
      <c r="F200" s="28" t="s">
        <v>320</v>
      </c>
      <c r="G200" s="28" t="s">
        <v>282</v>
      </c>
      <c r="H200" s="19">
        <v>1975</v>
      </c>
      <c r="I200" s="19"/>
      <c r="J200" s="241" t="s">
        <v>11</v>
      </c>
      <c r="K200" s="242" t="s">
        <v>11</v>
      </c>
      <c r="L200" s="241">
        <v>2027</v>
      </c>
      <c r="M200" s="24"/>
      <c r="N200" s="24"/>
      <c r="O200" s="9"/>
      <c r="P200" s="230"/>
      <c r="Q200" s="229" t="s">
        <v>419</v>
      </c>
      <c r="R200" s="153"/>
      <c r="S200" s="9"/>
      <c r="T200" s="7"/>
      <c r="U200" s="7"/>
      <c r="V200" s="7"/>
      <c r="W200" s="7"/>
      <c r="X200" s="9"/>
      <c r="Y200" s="9"/>
      <c r="Z200" s="9"/>
      <c r="AA200" s="9"/>
      <c r="AB200" s="9"/>
      <c r="AC200" s="7"/>
      <c r="AD200" s="7"/>
      <c r="AE200" s="7"/>
      <c r="AF200" s="7"/>
      <c r="AG200" s="9"/>
      <c r="AH200" s="9"/>
      <c r="AI200" s="9"/>
      <c r="AJ200" s="9"/>
      <c r="AK200" s="9"/>
      <c r="AL200" s="7"/>
      <c r="AM200" s="8"/>
      <c r="AN200" s="7"/>
      <c r="AO200" s="7"/>
      <c r="AP200" s="9"/>
      <c r="AQ200" s="9"/>
      <c r="AR200" s="9"/>
      <c r="AS200" s="9"/>
      <c r="AT200" s="9"/>
      <c r="AU200" s="7"/>
      <c r="AV200" s="8"/>
    </row>
    <row r="201" spans="1:48" s="2" customFormat="1" ht="54.75" customHeight="1" x14ac:dyDescent="0.25">
      <c r="A201" s="218">
        <f t="shared" si="4"/>
        <v>174</v>
      </c>
      <c r="B201" s="156">
        <v>1</v>
      </c>
      <c r="C201" s="166"/>
      <c r="D201" s="184"/>
      <c r="E201" s="28" t="s">
        <v>336</v>
      </c>
      <c r="F201" s="28" t="s">
        <v>320</v>
      </c>
      <c r="G201" s="28" t="s">
        <v>282</v>
      </c>
      <c r="H201" s="19">
        <v>1975</v>
      </c>
      <c r="I201" s="19"/>
      <c r="J201" s="241" t="s">
        <v>11</v>
      </c>
      <c r="K201" s="242" t="s">
        <v>11</v>
      </c>
      <c r="L201" s="241">
        <v>2027</v>
      </c>
      <c r="M201" s="24"/>
      <c r="N201" s="24"/>
      <c r="O201" s="9"/>
      <c r="P201" s="230"/>
      <c r="Q201" s="229" t="s">
        <v>419</v>
      </c>
      <c r="R201" s="153"/>
      <c r="S201" s="9"/>
      <c r="T201" s="7"/>
      <c r="U201" s="7"/>
      <c r="V201" s="7"/>
      <c r="W201" s="7"/>
      <c r="X201" s="9"/>
      <c r="Y201" s="9"/>
      <c r="Z201" s="9"/>
      <c r="AA201" s="9"/>
      <c r="AB201" s="9"/>
      <c r="AC201" s="7"/>
      <c r="AD201" s="7"/>
      <c r="AE201" s="7"/>
      <c r="AF201" s="7"/>
      <c r="AG201" s="9"/>
      <c r="AH201" s="9"/>
      <c r="AI201" s="9"/>
      <c r="AJ201" s="9"/>
      <c r="AK201" s="9"/>
      <c r="AL201" s="7"/>
      <c r="AM201" s="8"/>
      <c r="AN201" s="7"/>
      <c r="AO201" s="7"/>
      <c r="AP201" s="9"/>
      <c r="AQ201" s="9"/>
      <c r="AR201" s="9"/>
      <c r="AS201" s="9"/>
      <c r="AT201" s="9"/>
      <c r="AU201" s="7"/>
      <c r="AV201" s="8"/>
    </row>
    <row r="202" spans="1:48" s="2" customFormat="1" ht="54.75" customHeight="1" x14ac:dyDescent="0.25">
      <c r="A202" s="218">
        <f t="shared" si="4"/>
        <v>175</v>
      </c>
      <c r="B202" s="156">
        <v>1</v>
      </c>
      <c r="C202" s="166"/>
      <c r="D202" s="184"/>
      <c r="E202" s="28" t="s">
        <v>337</v>
      </c>
      <c r="F202" s="28" t="s">
        <v>320</v>
      </c>
      <c r="G202" s="28" t="s">
        <v>282</v>
      </c>
      <c r="H202" s="19">
        <v>1975</v>
      </c>
      <c r="I202" s="19"/>
      <c r="J202" s="241" t="s">
        <v>11</v>
      </c>
      <c r="K202" s="242" t="s">
        <v>11</v>
      </c>
      <c r="L202" s="241">
        <v>2027</v>
      </c>
      <c r="M202" s="24"/>
      <c r="N202" s="24"/>
      <c r="O202" s="9"/>
      <c r="P202" s="230"/>
      <c r="Q202" s="229" t="s">
        <v>419</v>
      </c>
      <c r="R202" s="153"/>
      <c r="S202" s="9"/>
      <c r="T202" s="7"/>
      <c r="U202" s="7"/>
      <c r="V202" s="7"/>
      <c r="W202" s="7"/>
      <c r="X202" s="9"/>
      <c r="Y202" s="9"/>
      <c r="Z202" s="9"/>
      <c r="AA202" s="9"/>
      <c r="AB202" s="9"/>
      <c r="AC202" s="7"/>
      <c r="AD202" s="7"/>
      <c r="AE202" s="7"/>
      <c r="AF202" s="7"/>
      <c r="AG202" s="9"/>
      <c r="AH202" s="9"/>
      <c r="AI202" s="9"/>
      <c r="AJ202" s="9"/>
      <c r="AK202" s="9"/>
      <c r="AL202" s="7"/>
      <c r="AM202" s="8"/>
      <c r="AN202" s="7"/>
      <c r="AO202" s="7"/>
      <c r="AP202" s="9"/>
      <c r="AQ202" s="9"/>
      <c r="AR202" s="9"/>
      <c r="AS202" s="9"/>
      <c r="AT202" s="9"/>
      <c r="AU202" s="7"/>
      <c r="AV202" s="8"/>
    </row>
    <row r="203" spans="1:48" s="2" customFormat="1" ht="54.75" customHeight="1" x14ac:dyDescent="0.25">
      <c r="A203" s="218">
        <f t="shared" si="4"/>
        <v>176</v>
      </c>
      <c r="B203" s="156">
        <v>1</v>
      </c>
      <c r="C203" s="166"/>
      <c r="D203" s="184"/>
      <c r="E203" s="28" t="s">
        <v>337</v>
      </c>
      <c r="F203" s="28" t="s">
        <v>320</v>
      </c>
      <c r="G203" s="28" t="s">
        <v>282</v>
      </c>
      <c r="H203" s="19">
        <v>1975</v>
      </c>
      <c r="I203" s="19"/>
      <c r="J203" s="241" t="s">
        <v>11</v>
      </c>
      <c r="K203" s="242" t="s">
        <v>11</v>
      </c>
      <c r="L203" s="241">
        <v>2027</v>
      </c>
      <c r="M203" s="24"/>
      <c r="N203" s="24"/>
      <c r="O203" s="9"/>
      <c r="P203" s="230"/>
      <c r="Q203" s="229" t="s">
        <v>419</v>
      </c>
      <c r="R203" s="153"/>
      <c r="S203" s="9"/>
      <c r="T203" s="7"/>
      <c r="U203" s="7"/>
      <c r="V203" s="7"/>
      <c r="W203" s="7"/>
      <c r="X203" s="9"/>
      <c r="Y203" s="9"/>
      <c r="Z203" s="9"/>
      <c r="AA203" s="9"/>
      <c r="AB203" s="9"/>
      <c r="AC203" s="7"/>
      <c r="AD203" s="7"/>
      <c r="AE203" s="7"/>
      <c r="AF203" s="7"/>
      <c r="AG203" s="9"/>
      <c r="AH203" s="9"/>
      <c r="AI203" s="9"/>
      <c r="AJ203" s="9"/>
      <c r="AK203" s="9"/>
      <c r="AL203" s="7"/>
      <c r="AM203" s="8"/>
      <c r="AN203" s="7"/>
      <c r="AO203" s="7"/>
      <c r="AP203" s="9"/>
      <c r="AQ203" s="9"/>
      <c r="AR203" s="9"/>
      <c r="AS203" s="9"/>
      <c r="AT203" s="9"/>
      <c r="AU203" s="7"/>
      <c r="AV203" s="8"/>
    </row>
    <row r="204" spans="1:48" s="2" customFormat="1" ht="54.75" customHeight="1" x14ac:dyDescent="0.25">
      <c r="A204" s="218">
        <f t="shared" si="4"/>
        <v>177</v>
      </c>
      <c r="B204" s="156">
        <v>1</v>
      </c>
      <c r="C204" s="166"/>
      <c r="D204" s="184"/>
      <c r="E204" s="28" t="s">
        <v>337</v>
      </c>
      <c r="F204" s="28" t="s">
        <v>320</v>
      </c>
      <c r="G204" s="28" t="s">
        <v>282</v>
      </c>
      <c r="H204" s="19">
        <v>1975</v>
      </c>
      <c r="I204" s="19"/>
      <c r="J204" s="241" t="s">
        <v>11</v>
      </c>
      <c r="K204" s="242" t="s">
        <v>11</v>
      </c>
      <c r="L204" s="241">
        <v>2027</v>
      </c>
      <c r="M204" s="24"/>
      <c r="N204" s="24"/>
      <c r="O204" s="9"/>
      <c r="P204" s="230"/>
      <c r="Q204" s="229" t="s">
        <v>419</v>
      </c>
      <c r="R204" s="153"/>
      <c r="S204" s="9"/>
      <c r="T204" s="7"/>
      <c r="U204" s="7"/>
      <c r="V204" s="7"/>
      <c r="W204" s="7"/>
      <c r="X204" s="9"/>
      <c r="Y204" s="9"/>
      <c r="Z204" s="9"/>
      <c r="AA204" s="9"/>
      <c r="AB204" s="9"/>
      <c r="AC204" s="7"/>
      <c r="AD204" s="7"/>
      <c r="AE204" s="7"/>
      <c r="AF204" s="7"/>
      <c r="AG204" s="9"/>
      <c r="AH204" s="9"/>
      <c r="AI204" s="9"/>
      <c r="AJ204" s="9"/>
      <c r="AK204" s="9"/>
      <c r="AL204" s="7"/>
      <c r="AM204" s="8"/>
      <c r="AN204" s="7"/>
      <c r="AO204" s="7"/>
      <c r="AP204" s="9"/>
      <c r="AQ204" s="9"/>
      <c r="AR204" s="9"/>
      <c r="AS204" s="9"/>
      <c r="AT204" s="9"/>
      <c r="AU204" s="7"/>
      <c r="AV204" s="8"/>
    </row>
    <row r="205" spans="1:48" s="2" customFormat="1" ht="54.75" customHeight="1" x14ac:dyDescent="0.25">
      <c r="A205" s="218">
        <f t="shared" si="4"/>
        <v>178</v>
      </c>
      <c r="B205" s="156">
        <v>1</v>
      </c>
      <c r="C205" s="166"/>
      <c r="D205" s="183"/>
      <c r="E205" s="28" t="s">
        <v>338</v>
      </c>
      <c r="F205" s="28" t="s">
        <v>320</v>
      </c>
      <c r="G205" s="28" t="s">
        <v>282</v>
      </c>
      <c r="H205" s="19">
        <v>1975</v>
      </c>
      <c r="I205" s="19"/>
      <c r="J205" s="241" t="s">
        <v>11</v>
      </c>
      <c r="K205" s="242" t="s">
        <v>11</v>
      </c>
      <c r="L205" s="241">
        <v>2027</v>
      </c>
      <c r="M205" s="24"/>
      <c r="N205" s="24"/>
      <c r="O205" s="9"/>
      <c r="P205" s="230"/>
      <c r="Q205" s="229" t="s">
        <v>419</v>
      </c>
      <c r="R205" s="153"/>
      <c r="S205" s="9"/>
      <c r="T205" s="7"/>
      <c r="U205" s="7"/>
      <c r="V205" s="7"/>
      <c r="W205" s="7"/>
      <c r="X205" s="9"/>
      <c r="Y205" s="9"/>
      <c r="Z205" s="9"/>
      <c r="AA205" s="9"/>
      <c r="AB205" s="9"/>
      <c r="AC205" s="7"/>
      <c r="AD205" s="7"/>
      <c r="AE205" s="7"/>
      <c r="AF205" s="7"/>
      <c r="AG205" s="9"/>
      <c r="AH205" s="9"/>
      <c r="AI205" s="9"/>
      <c r="AJ205" s="9"/>
      <c r="AK205" s="9"/>
      <c r="AL205" s="7"/>
      <c r="AM205" s="8"/>
      <c r="AN205" s="7"/>
      <c r="AO205" s="7"/>
      <c r="AP205" s="9"/>
      <c r="AQ205" s="9"/>
      <c r="AR205" s="9"/>
      <c r="AS205" s="9"/>
      <c r="AT205" s="9"/>
      <c r="AU205" s="7"/>
      <c r="AV205" s="8"/>
    </row>
    <row r="206" spans="1:48" s="2" customFormat="1" ht="70.5" customHeight="1" x14ac:dyDescent="0.25">
      <c r="A206" s="218">
        <f t="shared" si="4"/>
        <v>179</v>
      </c>
      <c r="B206" s="156">
        <v>1</v>
      </c>
      <c r="C206" s="164" t="s">
        <v>516</v>
      </c>
      <c r="D206" s="182" t="s">
        <v>240</v>
      </c>
      <c r="E206" s="28" t="s">
        <v>241</v>
      </c>
      <c r="F206" s="28" t="s">
        <v>242</v>
      </c>
      <c r="G206" s="28" t="s">
        <v>31</v>
      </c>
      <c r="H206" s="19">
        <v>1972</v>
      </c>
      <c r="I206" s="19">
        <v>1699.2</v>
      </c>
      <c r="J206" s="241" t="s">
        <v>11</v>
      </c>
      <c r="K206" s="242" t="s">
        <v>11</v>
      </c>
      <c r="L206" s="241">
        <v>2027</v>
      </c>
      <c r="M206" s="24"/>
      <c r="N206" s="24"/>
      <c r="O206" s="9"/>
      <c r="P206" s="230"/>
      <c r="Q206" s="229" t="s">
        <v>419</v>
      </c>
      <c r="R206" s="153"/>
      <c r="S206" s="9"/>
      <c r="T206" s="7"/>
      <c r="U206" s="7"/>
      <c r="V206" s="7"/>
      <c r="W206" s="7"/>
      <c r="X206" s="9"/>
      <c r="Y206" s="9"/>
      <c r="Z206" s="9"/>
      <c r="AA206" s="9"/>
      <c r="AB206" s="9"/>
      <c r="AC206" s="7"/>
      <c r="AD206" s="7"/>
      <c r="AE206" s="7"/>
      <c r="AF206" s="7"/>
      <c r="AG206" s="9"/>
      <c r="AH206" s="9"/>
      <c r="AI206" s="9"/>
      <c r="AJ206" s="9"/>
      <c r="AK206" s="9"/>
      <c r="AL206" s="7"/>
      <c r="AM206" s="8"/>
      <c r="AN206" s="7"/>
      <c r="AO206" s="7"/>
      <c r="AP206" s="9"/>
      <c r="AQ206" s="9"/>
      <c r="AR206" s="9"/>
      <c r="AS206" s="9"/>
      <c r="AT206" s="9"/>
      <c r="AU206" s="7"/>
      <c r="AV206" s="8"/>
    </row>
    <row r="207" spans="1:48" s="2" customFormat="1" ht="70.5" customHeight="1" x14ac:dyDescent="0.25">
      <c r="A207" s="218">
        <f t="shared" si="4"/>
        <v>180</v>
      </c>
      <c r="B207" s="156">
        <v>1</v>
      </c>
      <c r="C207" s="166"/>
      <c r="D207" s="184"/>
      <c r="E207" s="28" t="s">
        <v>243</v>
      </c>
      <c r="F207" s="28" t="s">
        <v>242</v>
      </c>
      <c r="G207" s="28"/>
      <c r="H207" s="19"/>
      <c r="I207" s="19">
        <v>152.69999999999999</v>
      </c>
      <c r="J207" s="241" t="s">
        <v>11</v>
      </c>
      <c r="K207" s="242" t="s">
        <v>11</v>
      </c>
      <c r="L207" s="241">
        <v>2027</v>
      </c>
      <c r="M207" s="24"/>
      <c r="N207" s="24"/>
      <c r="O207" s="9"/>
      <c r="P207" s="230"/>
      <c r="Q207" s="229" t="s">
        <v>419</v>
      </c>
      <c r="R207" s="153"/>
      <c r="S207" s="9"/>
      <c r="T207" s="7"/>
      <c r="U207" s="7"/>
      <c r="V207" s="7"/>
      <c r="W207" s="7"/>
      <c r="X207" s="9"/>
      <c r="Y207" s="9"/>
      <c r="Z207" s="9"/>
      <c r="AA207" s="9"/>
      <c r="AB207" s="9"/>
      <c r="AC207" s="7"/>
      <c r="AD207" s="7"/>
      <c r="AE207" s="7"/>
      <c r="AF207" s="7"/>
      <c r="AG207" s="9"/>
      <c r="AH207" s="9"/>
      <c r="AI207" s="9"/>
      <c r="AJ207" s="9"/>
      <c r="AK207" s="9"/>
      <c r="AL207" s="7"/>
      <c r="AM207" s="8"/>
      <c r="AN207" s="7"/>
      <c r="AO207" s="7"/>
      <c r="AP207" s="9"/>
      <c r="AQ207" s="9"/>
      <c r="AR207" s="9"/>
      <c r="AS207" s="9"/>
      <c r="AT207" s="9"/>
      <c r="AU207" s="7"/>
      <c r="AV207" s="8"/>
    </row>
    <row r="208" spans="1:48" s="2" customFormat="1" ht="78.75" customHeight="1" x14ac:dyDescent="0.25">
      <c r="A208" s="218">
        <f t="shared" si="4"/>
        <v>181</v>
      </c>
      <c r="B208" s="156">
        <v>1</v>
      </c>
      <c r="C208" s="166"/>
      <c r="D208" s="184"/>
      <c r="E208" s="28" t="s">
        <v>291</v>
      </c>
      <c r="F208" s="28" t="s">
        <v>244</v>
      </c>
      <c r="G208" s="28"/>
      <c r="H208" s="19"/>
      <c r="I208" s="19">
        <v>6.4</v>
      </c>
      <c r="J208" s="241" t="s">
        <v>11</v>
      </c>
      <c r="K208" s="242" t="s">
        <v>11</v>
      </c>
      <c r="L208" s="241">
        <v>2027</v>
      </c>
      <c r="M208" s="24"/>
      <c r="N208" s="24"/>
      <c r="O208" s="9"/>
      <c r="P208" s="230"/>
      <c r="Q208" s="229" t="s">
        <v>419</v>
      </c>
      <c r="R208" s="153"/>
      <c r="S208" s="9"/>
      <c r="T208" s="7"/>
      <c r="U208" s="7"/>
      <c r="V208" s="7"/>
      <c r="W208" s="7"/>
      <c r="X208" s="9"/>
      <c r="Y208" s="9"/>
      <c r="Z208" s="9"/>
      <c r="AA208" s="9"/>
      <c r="AB208" s="9"/>
      <c r="AC208" s="7"/>
      <c r="AD208" s="7"/>
      <c r="AE208" s="7"/>
      <c r="AF208" s="7"/>
      <c r="AG208" s="9"/>
      <c r="AH208" s="9"/>
      <c r="AI208" s="9"/>
      <c r="AJ208" s="9"/>
      <c r="AK208" s="9"/>
      <c r="AL208" s="7"/>
      <c r="AM208" s="8"/>
      <c r="AN208" s="7"/>
      <c r="AO208" s="7"/>
      <c r="AP208" s="9"/>
      <c r="AQ208" s="9"/>
      <c r="AR208" s="9"/>
      <c r="AS208" s="9"/>
      <c r="AT208" s="9"/>
      <c r="AU208" s="7"/>
      <c r="AV208" s="8"/>
    </row>
    <row r="209" spans="1:48" s="2" customFormat="1" ht="63" customHeight="1" x14ac:dyDescent="0.25">
      <c r="A209" s="218">
        <f t="shared" si="4"/>
        <v>182</v>
      </c>
      <c r="B209" s="156">
        <v>1</v>
      </c>
      <c r="C209" s="166"/>
      <c r="D209" s="183"/>
      <c r="E209" s="28" t="s">
        <v>245</v>
      </c>
      <c r="F209" s="28" t="s">
        <v>246</v>
      </c>
      <c r="G209" s="28"/>
      <c r="H209" s="19"/>
      <c r="I209" s="19">
        <v>91.5</v>
      </c>
      <c r="J209" s="241" t="s">
        <v>11</v>
      </c>
      <c r="K209" s="242" t="s">
        <v>11</v>
      </c>
      <c r="L209" s="241">
        <v>2027</v>
      </c>
      <c r="M209" s="24"/>
      <c r="N209" s="24"/>
      <c r="O209" s="9"/>
      <c r="P209" s="230"/>
      <c r="Q209" s="229" t="s">
        <v>419</v>
      </c>
      <c r="R209" s="153"/>
      <c r="S209" s="9"/>
      <c r="T209" s="7"/>
      <c r="U209" s="7"/>
      <c r="V209" s="7"/>
      <c r="W209" s="7"/>
      <c r="X209" s="9"/>
      <c r="Y209" s="9"/>
      <c r="Z209" s="9"/>
      <c r="AA209" s="9"/>
      <c r="AB209" s="9"/>
      <c r="AC209" s="7"/>
      <c r="AD209" s="7"/>
      <c r="AE209" s="7"/>
      <c r="AF209" s="7"/>
      <c r="AG209" s="9"/>
      <c r="AH209" s="9"/>
      <c r="AI209" s="9"/>
      <c r="AJ209" s="9"/>
      <c r="AK209" s="9"/>
      <c r="AL209" s="7"/>
      <c r="AM209" s="8"/>
      <c r="AN209" s="7"/>
      <c r="AO209" s="7"/>
      <c r="AP209" s="9"/>
      <c r="AQ209" s="9"/>
      <c r="AR209" s="9"/>
      <c r="AS209" s="9"/>
      <c r="AT209" s="9"/>
      <c r="AU209" s="7"/>
      <c r="AV209" s="8"/>
    </row>
    <row r="210" spans="1:48" s="2" customFormat="1" ht="78.599999999999994" customHeight="1" x14ac:dyDescent="0.25">
      <c r="A210" s="218">
        <f t="shared" si="4"/>
        <v>183</v>
      </c>
      <c r="B210" s="156">
        <v>1</v>
      </c>
      <c r="C210" s="164" t="s">
        <v>247</v>
      </c>
      <c r="D210" s="182" t="s">
        <v>247</v>
      </c>
      <c r="E210" s="28" t="s">
        <v>248</v>
      </c>
      <c r="F210" s="28" t="s">
        <v>249</v>
      </c>
      <c r="G210" s="28" t="s">
        <v>282</v>
      </c>
      <c r="H210" s="19">
        <v>1987</v>
      </c>
      <c r="I210" s="19">
        <v>1800</v>
      </c>
      <c r="J210" s="241" t="s">
        <v>11</v>
      </c>
      <c r="K210" s="242" t="s">
        <v>11</v>
      </c>
      <c r="L210" s="241">
        <v>2027</v>
      </c>
      <c r="M210" s="24"/>
      <c r="N210" s="24"/>
      <c r="O210" s="9"/>
      <c r="P210" s="230"/>
      <c r="Q210" s="229" t="s">
        <v>419</v>
      </c>
      <c r="R210" s="153"/>
      <c r="S210" s="9"/>
      <c r="T210" s="7"/>
      <c r="U210" s="7"/>
      <c r="V210" s="7"/>
      <c r="W210" s="7"/>
      <c r="X210" s="9"/>
      <c r="Y210" s="9"/>
      <c r="Z210" s="9"/>
      <c r="AA210" s="9"/>
      <c r="AB210" s="9"/>
      <c r="AC210" s="7"/>
      <c r="AD210" s="7"/>
      <c r="AE210" s="7"/>
      <c r="AF210" s="7"/>
      <c r="AG210" s="9"/>
      <c r="AH210" s="9"/>
      <c r="AI210" s="9"/>
      <c r="AJ210" s="9"/>
      <c r="AK210" s="9"/>
      <c r="AL210" s="7"/>
      <c r="AM210" s="8"/>
      <c r="AN210" s="7"/>
      <c r="AO210" s="7"/>
      <c r="AP210" s="9"/>
      <c r="AQ210" s="9"/>
      <c r="AR210" s="9"/>
      <c r="AS210" s="9"/>
      <c r="AT210" s="9"/>
      <c r="AU210" s="7"/>
      <c r="AV210" s="8"/>
    </row>
    <row r="211" spans="1:48" s="2" customFormat="1" ht="57" customHeight="1" x14ac:dyDescent="0.25">
      <c r="A211" s="218">
        <f t="shared" si="4"/>
        <v>184</v>
      </c>
      <c r="B211" s="156">
        <v>1</v>
      </c>
      <c r="C211" s="166"/>
      <c r="D211" s="184"/>
      <c r="E211" s="28" t="s">
        <v>250</v>
      </c>
      <c r="F211" s="28" t="s">
        <v>252</v>
      </c>
      <c r="G211" s="28" t="s">
        <v>282</v>
      </c>
      <c r="H211" s="19">
        <v>1987</v>
      </c>
      <c r="I211" s="19">
        <v>1100</v>
      </c>
      <c r="J211" s="241" t="s">
        <v>11</v>
      </c>
      <c r="K211" s="242" t="s">
        <v>11</v>
      </c>
      <c r="L211" s="241">
        <v>2027</v>
      </c>
      <c r="M211" s="24"/>
      <c r="N211" s="24"/>
      <c r="O211" s="9"/>
      <c r="P211" s="230"/>
      <c r="Q211" s="229" t="s">
        <v>419</v>
      </c>
      <c r="R211" s="153"/>
      <c r="S211" s="9"/>
      <c r="T211" s="7"/>
      <c r="U211" s="7"/>
      <c r="V211" s="7"/>
      <c r="W211" s="7"/>
      <c r="X211" s="9"/>
      <c r="Y211" s="9"/>
      <c r="Z211" s="9"/>
      <c r="AA211" s="9"/>
      <c r="AB211" s="9"/>
      <c r="AC211" s="7"/>
      <c r="AD211" s="7"/>
      <c r="AE211" s="7"/>
      <c r="AF211" s="7"/>
      <c r="AG211" s="9"/>
      <c r="AH211" s="9"/>
      <c r="AI211" s="9"/>
      <c r="AJ211" s="9"/>
      <c r="AK211" s="9"/>
      <c r="AL211" s="7"/>
      <c r="AM211" s="8"/>
      <c r="AN211" s="7"/>
      <c r="AO211" s="7"/>
      <c r="AP211" s="9"/>
      <c r="AQ211" s="9"/>
      <c r="AR211" s="9"/>
      <c r="AS211" s="9"/>
      <c r="AT211" s="9"/>
      <c r="AU211" s="7"/>
      <c r="AV211" s="8"/>
    </row>
    <row r="212" spans="1:48" s="2" customFormat="1" ht="52.5" customHeight="1" x14ac:dyDescent="0.25">
      <c r="A212" s="218">
        <f t="shared" si="4"/>
        <v>185</v>
      </c>
      <c r="B212" s="156">
        <v>1</v>
      </c>
      <c r="C212" s="166"/>
      <c r="D212" s="184"/>
      <c r="E212" s="28" t="s">
        <v>251</v>
      </c>
      <c r="F212" s="28" t="s">
        <v>249</v>
      </c>
      <c r="G212" s="28" t="s">
        <v>282</v>
      </c>
      <c r="H212" s="19">
        <v>1987</v>
      </c>
      <c r="I212" s="19">
        <v>1800</v>
      </c>
      <c r="J212" s="241" t="s">
        <v>11</v>
      </c>
      <c r="K212" s="242" t="s">
        <v>11</v>
      </c>
      <c r="L212" s="241">
        <v>2027</v>
      </c>
      <c r="M212" s="24"/>
      <c r="N212" s="24"/>
      <c r="O212" s="9"/>
      <c r="P212" s="230"/>
      <c r="Q212" s="229" t="s">
        <v>419</v>
      </c>
      <c r="R212" s="153"/>
      <c r="S212" s="9"/>
      <c r="T212" s="7"/>
      <c r="U212" s="7"/>
      <c r="V212" s="7"/>
      <c r="W212" s="7"/>
      <c r="X212" s="9"/>
      <c r="Y212" s="9"/>
      <c r="Z212" s="9"/>
      <c r="AA212" s="9"/>
      <c r="AB212" s="9"/>
      <c r="AC212" s="7"/>
      <c r="AD212" s="7"/>
      <c r="AE212" s="7"/>
      <c r="AF212" s="7"/>
      <c r="AG212" s="9"/>
      <c r="AH212" s="9"/>
      <c r="AI212" s="9"/>
      <c r="AJ212" s="9"/>
      <c r="AK212" s="9"/>
      <c r="AL212" s="7"/>
      <c r="AM212" s="8"/>
      <c r="AN212" s="7"/>
      <c r="AO212" s="7"/>
      <c r="AP212" s="9"/>
      <c r="AQ212" s="9"/>
      <c r="AR212" s="9"/>
      <c r="AS212" s="9"/>
      <c r="AT212" s="9"/>
      <c r="AU212" s="7"/>
      <c r="AV212" s="8"/>
    </row>
    <row r="213" spans="1:48" s="2" customFormat="1" ht="65.25" customHeight="1" x14ac:dyDescent="0.25">
      <c r="A213" s="218">
        <f t="shared" si="4"/>
        <v>186</v>
      </c>
      <c r="B213" s="156">
        <v>1</v>
      </c>
      <c r="C213" s="166"/>
      <c r="D213" s="184"/>
      <c r="E213" s="28" t="s">
        <v>18</v>
      </c>
      <c r="F213" s="28" t="s">
        <v>19</v>
      </c>
      <c r="G213" s="28" t="s">
        <v>282</v>
      </c>
      <c r="H213" s="19">
        <v>1987</v>
      </c>
      <c r="I213" s="19">
        <v>1800</v>
      </c>
      <c r="J213" s="241" t="s">
        <v>11</v>
      </c>
      <c r="K213" s="242" t="s">
        <v>11</v>
      </c>
      <c r="L213" s="241">
        <v>2027</v>
      </c>
      <c r="M213" s="24"/>
      <c r="N213" s="24"/>
      <c r="O213" s="9"/>
      <c r="P213" s="230"/>
      <c r="Q213" s="229" t="s">
        <v>419</v>
      </c>
      <c r="R213" s="153"/>
      <c r="S213" s="9"/>
      <c r="T213" s="7"/>
      <c r="U213" s="7"/>
      <c r="V213" s="7"/>
      <c r="W213" s="7"/>
      <c r="X213" s="9"/>
      <c r="Y213" s="9"/>
      <c r="Z213" s="9"/>
      <c r="AA213" s="9"/>
      <c r="AB213" s="9"/>
      <c r="AC213" s="7"/>
      <c r="AD213" s="7"/>
      <c r="AE213" s="7"/>
      <c r="AF213" s="7"/>
      <c r="AG213" s="9"/>
      <c r="AH213" s="9"/>
      <c r="AI213" s="9"/>
      <c r="AJ213" s="9"/>
      <c r="AK213" s="9"/>
      <c r="AL213" s="7"/>
      <c r="AM213" s="8"/>
      <c r="AN213" s="7"/>
      <c r="AO213" s="7"/>
      <c r="AP213" s="9"/>
      <c r="AQ213" s="9"/>
      <c r="AR213" s="9"/>
      <c r="AS213" s="9"/>
      <c r="AT213" s="9"/>
      <c r="AU213" s="7"/>
      <c r="AV213" s="8"/>
    </row>
    <row r="214" spans="1:48" s="2" customFormat="1" ht="52.5" customHeight="1" x14ac:dyDescent="0.25">
      <c r="A214" s="218">
        <f t="shared" si="4"/>
        <v>187</v>
      </c>
      <c r="B214" s="156">
        <v>1</v>
      </c>
      <c r="C214" s="166"/>
      <c r="D214" s="184"/>
      <c r="E214" s="28" t="s">
        <v>20</v>
      </c>
      <c r="F214" s="28" t="s">
        <v>19</v>
      </c>
      <c r="G214" s="28" t="s">
        <v>282</v>
      </c>
      <c r="H214" s="19">
        <v>1987</v>
      </c>
      <c r="I214" s="19">
        <v>32</v>
      </c>
      <c r="J214" s="241" t="s">
        <v>11</v>
      </c>
      <c r="K214" s="242" t="s">
        <v>11</v>
      </c>
      <c r="L214" s="241">
        <v>2027</v>
      </c>
      <c r="M214" s="24"/>
      <c r="N214" s="24"/>
      <c r="O214" s="9"/>
      <c r="P214" s="230"/>
      <c r="Q214" s="229" t="s">
        <v>419</v>
      </c>
      <c r="R214" s="153"/>
      <c r="S214" s="9"/>
      <c r="T214" s="7"/>
      <c r="U214" s="7"/>
      <c r="V214" s="7"/>
      <c r="W214" s="7"/>
      <c r="X214" s="9"/>
      <c r="Y214" s="9"/>
      <c r="Z214" s="9"/>
      <c r="AA214" s="9"/>
      <c r="AB214" s="9"/>
      <c r="AC214" s="7"/>
      <c r="AD214" s="7"/>
      <c r="AE214" s="7"/>
      <c r="AF214" s="7"/>
      <c r="AG214" s="9"/>
      <c r="AH214" s="9"/>
      <c r="AI214" s="9"/>
      <c r="AJ214" s="9"/>
      <c r="AK214" s="9"/>
      <c r="AL214" s="7"/>
      <c r="AM214" s="8"/>
      <c r="AN214" s="7"/>
      <c r="AO214" s="7"/>
      <c r="AP214" s="9"/>
      <c r="AQ214" s="9"/>
      <c r="AR214" s="9"/>
      <c r="AS214" s="9"/>
      <c r="AT214" s="9"/>
      <c r="AU214" s="7"/>
      <c r="AV214" s="8"/>
    </row>
    <row r="215" spans="1:48" s="2" customFormat="1" ht="52.5" customHeight="1" x14ac:dyDescent="0.25">
      <c r="A215" s="218">
        <f t="shared" si="4"/>
        <v>188</v>
      </c>
      <c r="B215" s="156">
        <v>1</v>
      </c>
      <c r="C215" s="166"/>
      <c r="D215" s="184"/>
      <c r="E215" s="28" t="s">
        <v>21</v>
      </c>
      <c r="F215" s="28" t="s">
        <v>249</v>
      </c>
      <c r="G215" s="28" t="s">
        <v>282</v>
      </c>
      <c r="H215" s="19">
        <v>1987</v>
      </c>
      <c r="I215" s="19">
        <v>520</v>
      </c>
      <c r="J215" s="241" t="s">
        <v>11</v>
      </c>
      <c r="K215" s="242" t="s">
        <v>11</v>
      </c>
      <c r="L215" s="241">
        <v>2027</v>
      </c>
      <c r="M215" s="24"/>
      <c r="N215" s="24"/>
      <c r="O215" s="9"/>
      <c r="P215" s="230"/>
      <c r="Q215" s="229" t="s">
        <v>419</v>
      </c>
      <c r="R215" s="153"/>
      <c r="S215" s="9"/>
      <c r="T215" s="7"/>
      <c r="U215" s="7"/>
      <c r="V215" s="7"/>
      <c r="W215" s="7"/>
      <c r="X215" s="9"/>
      <c r="Y215" s="9"/>
      <c r="Z215" s="9"/>
      <c r="AA215" s="9"/>
      <c r="AB215" s="9"/>
      <c r="AC215" s="7"/>
      <c r="AD215" s="7"/>
      <c r="AE215" s="7"/>
      <c r="AF215" s="7"/>
      <c r="AG215" s="9"/>
      <c r="AH215" s="9"/>
      <c r="AI215" s="9"/>
      <c r="AJ215" s="9"/>
      <c r="AK215" s="9"/>
      <c r="AL215" s="7"/>
      <c r="AM215" s="8"/>
      <c r="AN215" s="7"/>
      <c r="AO215" s="7"/>
      <c r="AP215" s="9"/>
      <c r="AQ215" s="9"/>
      <c r="AR215" s="9"/>
      <c r="AS215" s="9"/>
      <c r="AT215" s="9"/>
      <c r="AU215" s="7"/>
      <c r="AV215" s="8"/>
    </row>
    <row r="216" spans="1:48" s="2" customFormat="1" ht="52.5" customHeight="1" x14ac:dyDescent="0.25">
      <c r="A216" s="218">
        <f t="shared" si="4"/>
        <v>189</v>
      </c>
      <c r="B216" s="156">
        <v>1</v>
      </c>
      <c r="C216" s="166"/>
      <c r="D216" s="184"/>
      <c r="E216" s="28" t="s">
        <v>22</v>
      </c>
      <c r="F216" s="28" t="s">
        <v>249</v>
      </c>
      <c r="G216" s="28" t="s">
        <v>282</v>
      </c>
      <c r="H216" s="19">
        <v>1987</v>
      </c>
      <c r="I216" s="19">
        <v>300</v>
      </c>
      <c r="J216" s="241" t="s">
        <v>11</v>
      </c>
      <c r="K216" s="242" t="s">
        <v>11</v>
      </c>
      <c r="L216" s="241">
        <v>2027</v>
      </c>
      <c r="M216" s="24"/>
      <c r="N216" s="24"/>
      <c r="O216" s="9"/>
      <c r="P216" s="230"/>
      <c r="Q216" s="229" t="s">
        <v>419</v>
      </c>
      <c r="R216" s="153"/>
      <c r="S216" s="9"/>
      <c r="T216" s="7"/>
      <c r="U216" s="7"/>
      <c r="V216" s="7"/>
      <c r="W216" s="7"/>
      <c r="X216" s="9"/>
      <c r="Y216" s="9"/>
      <c r="Z216" s="9"/>
      <c r="AA216" s="9"/>
      <c r="AB216" s="9"/>
      <c r="AC216" s="7"/>
      <c r="AD216" s="7"/>
      <c r="AE216" s="7"/>
      <c r="AF216" s="7"/>
      <c r="AG216" s="9"/>
      <c r="AH216" s="9"/>
      <c r="AI216" s="9"/>
      <c r="AJ216" s="9"/>
      <c r="AK216" s="9"/>
      <c r="AL216" s="7"/>
      <c r="AM216" s="8"/>
      <c r="AN216" s="7"/>
      <c r="AO216" s="7"/>
      <c r="AP216" s="9"/>
      <c r="AQ216" s="9"/>
      <c r="AR216" s="9"/>
      <c r="AS216" s="9"/>
      <c r="AT216" s="9"/>
      <c r="AU216" s="7"/>
      <c r="AV216" s="8"/>
    </row>
    <row r="217" spans="1:48" s="2" customFormat="1" ht="52.5" customHeight="1" x14ac:dyDescent="0.25">
      <c r="A217" s="218">
        <f t="shared" si="4"/>
        <v>190</v>
      </c>
      <c r="B217" s="156">
        <v>1</v>
      </c>
      <c r="C217" s="166"/>
      <c r="D217" s="184"/>
      <c r="E217" s="28" t="s">
        <v>23</v>
      </c>
      <c r="F217" s="28" t="s">
        <v>249</v>
      </c>
      <c r="G217" s="28" t="s">
        <v>282</v>
      </c>
      <c r="H217" s="19">
        <v>1987</v>
      </c>
      <c r="I217" s="19">
        <v>600</v>
      </c>
      <c r="J217" s="241" t="s">
        <v>11</v>
      </c>
      <c r="K217" s="242" t="s">
        <v>11</v>
      </c>
      <c r="L217" s="241">
        <v>2028</v>
      </c>
      <c r="M217" s="24"/>
      <c r="N217" s="24"/>
      <c r="O217" s="9"/>
      <c r="P217" s="230"/>
      <c r="Q217" s="229" t="s">
        <v>419</v>
      </c>
      <c r="R217" s="153"/>
      <c r="S217" s="9"/>
      <c r="T217" s="7"/>
      <c r="U217" s="7"/>
      <c r="V217" s="7"/>
      <c r="W217" s="7"/>
      <c r="X217" s="9"/>
      <c r="Y217" s="9"/>
      <c r="Z217" s="9"/>
      <c r="AA217" s="9"/>
      <c r="AB217" s="9"/>
      <c r="AC217" s="7"/>
      <c r="AD217" s="7"/>
      <c r="AE217" s="7"/>
      <c r="AF217" s="7"/>
      <c r="AG217" s="9"/>
      <c r="AH217" s="9"/>
      <c r="AI217" s="9"/>
      <c r="AJ217" s="9"/>
      <c r="AK217" s="9"/>
      <c r="AL217" s="7"/>
      <c r="AM217" s="8"/>
      <c r="AN217" s="7"/>
      <c r="AO217" s="7"/>
      <c r="AP217" s="9"/>
      <c r="AQ217" s="9"/>
      <c r="AR217" s="9"/>
      <c r="AS217" s="9"/>
      <c r="AT217" s="9"/>
      <c r="AU217" s="7"/>
      <c r="AV217" s="8"/>
    </row>
    <row r="218" spans="1:48" s="2" customFormat="1" ht="52.5" customHeight="1" x14ac:dyDescent="0.25">
      <c r="A218" s="218">
        <f t="shared" si="4"/>
        <v>191</v>
      </c>
      <c r="B218" s="156">
        <v>1</v>
      </c>
      <c r="C218" s="166"/>
      <c r="D218" s="184"/>
      <c r="E218" s="28" t="s">
        <v>24</v>
      </c>
      <c r="F218" s="28" t="s">
        <v>249</v>
      </c>
      <c r="G218" s="28" t="s">
        <v>282</v>
      </c>
      <c r="H218" s="19">
        <v>1987</v>
      </c>
      <c r="I218" s="19">
        <v>800</v>
      </c>
      <c r="J218" s="241" t="s">
        <v>11</v>
      </c>
      <c r="K218" s="242" t="s">
        <v>11</v>
      </c>
      <c r="L218" s="241">
        <v>2028</v>
      </c>
      <c r="M218" s="24"/>
      <c r="N218" s="24"/>
      <c r="O218" s="9"/>
      <c r="P218" s="230"/>
      <c r="Q218" s="229" t="s">
        <v>419</v>
      </c>
      <c r="R218" s="153"/>
      <c r="S218" s="9"/>
      <c r="T218" s="7"/>
      <c r="U218" s="7"/>
      <c r="V218" s="7"/>
      <c r="W218" s="7"/>
      <c r="X218" s="9"/>
      <c r="Y218" s="9"/>
      <c r="Z218" s="9"/>
      <c r="AA218" s="9"/>
      <c r="AB218" s="9"/>
      <c r="AC218" s="7"/>
      <c r="AD218" s="7"/>
      <c r="AE218" s="7"/>
      <c r="AF218" s="7"/>
      <c r="AG218" s="9"/>
      <c r="AH218" s="9"/>
      <c r="AI218" s="9"/>
      <c r="AJ218" s="9"/>
      <c r="AK218" s="9"/>
      <c r="AL218" s="7"/>
      <c r="AM218" s="8"/>
      <c r="AN218" s="7"/>
      <c r="AO218" s="7"/>
      <c r="AP218" s="9"/>
      <c r="AQ218" s="9"/>
      <c r="AR218" s="9"/>
      <c r="AS218" s="9"/>
      <c r="AT218" s="9"/>
      <c r="AU218" s="7"/>
      <c r="AV218" s="8"/>
    </row>
    <row r="219" spans="1:48" s="2" customFormat="1" ht="52.5" customHeight="1" x14ac:dyDescent="0.25">
      <c r="A219" s="218">
        <f t="shared" si="4"/>
        <v>192</v>
      </c>
      <c r="B219" s="156">
        <v>1</v>
      </c>
      <c r="C219" s="166"/>
      <c r="D219" s="184"/>
      <c r="E219" s="28" t="s">
        <v>25</v>
      </c>
      <c r="F219" s="28" t="s">
        <v>249</v>
      </c>
      <c r="G219" s="28" t="s">
        <v>282</v>
      </c>
      <c r="H219" s="19">
        <v>1987</v>
      </c>
      <c r="I219" s="19">
        <v>1100</v>
      </c>
      <c r="J219" s="241" t="s">
        <v>11</v>
      </c>
      <c r="K219" s="242" t="s">
        <v>11</v>
      </c>
      <c r="L219" s="241">
        <v>2027</v>
      </c>
      <c r="M219" s="24"/>
      <c r="N219" s="24"/>
      <c r="O219" s="9"/>
      <c r="P219" s="230"/>
      <c r="Q219" s="229" t="s">
        <v>419</v>
      </c>
      <c r="R219" s="153"/>
      <c r="S219" s="9"/>
      <c r="T219" s="7"/>
      <c r="U219" s="7"/>
      <c r="V219" s="7"/>
      <c r="W219" s="7"/>
      <c r="X219" s="9"/>
      <c r="Y219" s="9"/>
      <c r="Z219" s="9"/>
      <c r="AA219" s="9"/>
      <c r="AB219" s="9"/>
      <c r="AC219" s="7"/>
      <c r="AD219" s="7"/>
      <c r="AE219" s="7"/>
      <c r="AF219" s="7"/>
      <c r="AG219" s="9"/>
      <c r="AH219" s="9"/>
      <c r="AI219" s="9"/>
      <c r="AJ219" s="9"/>
      <c r="AK219" s="9"/>
      <c r="AL219" s="7"/>
      <c r="AM219" s="8"/>
      <c r="AN219" s="7"/>
      <c r="AO219" s="7"/>
      <c r="AP219" s="9"/>
      <c r="AQ219" s="9"/>
      <c r="AR219" s="9"/>
      <c r="AS219" s="9"/>
      <c r="AT219" s="9"/>
      <c r="AU219" s="7"/>
      <c r="AV219" s="8"/>
    </row>
    <row r="220" spans="1:48" s="2" customFormat="1" ht="62.25" customHeight="1" x14ac:dyDescent="0.25">
      <c r="A220" s="218">
        <f t="shared" si="4"/>
        <v>193</v>
      </c>
      <c r="B220" s="156">
        <v>1</v>
      </c>
      <c r="C220" s="166"/>
      <c r="D220" s="184"/>
      <c r="E220" s="28" t="s">
        <v>59</v>
      </c>
      <c r="F220" s="28" t="s">
        <v>249</v>
      </c>
      <c r="G220" s="28" t="s">
        <v>282</v>
      </c>
      <c r="H220" s="19">
        <v>1970</v>
      </c>
      <c r="I220" s="19">
        <v>9</v>
      </c>
      <c r="J220" s="241" t="s">
        <v>11</v>
      </c>
      <c r="K220" s="242" t="s">
        <v>11</v>
      </c>
      <c r="L220" s="241">
        <v>2027</v>
      </c>
      <c r="M220" s="24"/>
      <c r="N220" s="24"/>
      <c r="O220" s="9"/>
      <c r="P220" s="230"/>
      <c r="Q220" s="229" t="s">
        <v>419</v>
      </c>
      <c r="R220" s="153"/>
      <c r="S220" s="9"/>
      <c r="T220" s="7"/>
      <c r="U220" s="7"/>
      <c r="V220" s="7"/>
      <c r="W220" s="7"/>
      <c r="X220" s="9"/>
      <c r="Y220" s="9"/>
      <c r="Z220" s="9"/>
      <c r="AA220" s="9"/>
      <c r="AB220" s="9"/>
      <c r="AC220" s="7"/>
      <c r="AD220" s="7"/>
      <c r="AE220" s="7"/>
      <c r="AF220" s="7"/>
      <c r="AG220" s="9"/>
      <c r="AH220" s="9"/>
      <c r="AI220" s="9"/>
      <c r="AJ220" s="9"/>
      <c r="AK220" s="9"/>
      <c r="AL220" s="7"/>
      <c r="AM220" s="8"/>
      <c r="AN220" s="7"/>
      <c r="AO220" s="7"/>
      <c r="AP220" s="9"/>
      <c r="AQ220" s="9"/>
      <c r="AR220" s="9"/>
      <c r="AS220" s="9"/>
      <c r="AT220" s="9"/>
      <c r="AU220" s="7"/>
      <c r="AV220" s="8"/>
    </row>
    <row r="221" spans="1:48" s="2" customFormat="1" ht="52.5" customHeight="1" x14ac:dyDescent="0.25">
      <c r="A221" s="218">
        <f t="shared" si="4"/>
        <v>194</v>
      </c>
      <c r="B221" s="156">
        <v>1</v>
      </c>
      <c r="C221" s="165"/>
      <c r="D221" s="183"/>
      <c r="E221" s="28" t="s">
        <v>26</v>
      </c>
      <c r="F221" s="28" t="s">
        <v>249</v>
      </c>
      <c r="G221" s="28" t="s">
        <v>292</v>
      </c>
      <c r="H221" s="19">
        <v>1987</v>
      </c>
      <c r="I221" s="19">
        <v>450</v>
      </c>
      <c r="J221" s="241" t="s">
        <v>11</v>
      </c>
      <c r="K221" s="242" t="s">
        <v>11</v>
      </c>
      <c r="L221" s="241">
        <v>2030</v>
      </c>
      <c r="M221" s="24"/>
      <c r="N221" s="24"/>
      <c r="O221" s="9"/>
      <c r="P221" s="230"/>
      <c r="Q221" s="229" t="s">
        <v>419</v>
      </c>
      <c r="R221" s="153"/>
      <c r="S221" s="9"/>
      <c r="T221" s="7"/>
      <c r="U221" s="7"/>
      <c r="V221" s="7"/>
      <c r="W221" s="7"/>
      <c r="X221" s="9"/>
      <c r="Y221" s="9"/>
      <c r="Z221" s="9"/>
      <c r="AA221" s="9"/>
      <c r="AB221" s="9"/>
      <c r="AC221" s="7"/>
      <c r="AD221" s="7"/>
      <c r="AE221" s="7"/>
      <c r="AF221" s="7"/>
      <c r="AG221" s="9"/>
      <c r="AH221" s="9"/>
      <c r="AI221" s="9"/>
      <c r="AJ221" s="9"/>
      <c r="AK221" s="9"/>
      <c r="AL221" s="7"/>
      <c r="AM221" s="8"/>
      <c r="AN221" s="7"/>
      <c r="AO221" s="7"/>
      <c r="AP221" s="9"/>
      <c r="AQ221" s="9"/>
      <c r="AR221" s="9"/>
      <c r="AS221" s="9"/>
      <c r="AT221" s="9"/>
      <c r="AU221" s="7"/>
      <c r="AV221" s="8"/>
    </row>
    <row r="222" spans="1:48" s="2" customFormat="1" ht="63.75" customHeight="1" x14ac:dyDescent="0.25">
      <c r="A222" s="218">
        <f t="shared" si="4"/>
        <v>195</v>
      </c>
      <c r="B222" s="19">
        <v>1</v>
      </c>
      <c r="C222" s="165" t="s">
        <v>253</v>
      </c>
      <c r="D222" s="180" t="s">
        <v>433</v>
      </c>
      <c r="E222" s="28" t="s">
        <v>254</v>
      </c>
      <c r="F222" s="28" t="s">
        <v>255</v>
      </c>
      <c r="G222" s="28" t="s">
        <v>30</v>
      </c>
      <c r="H222" s="19">
        <v>1980</v>
      </c>
      <c r="I222" s="19">
        <v>949.8</v>
      </c>
      <c r="J222" s="241" t="s">
        <v>11</v>
      </c>
      <c r="K222" s="242" t="s">
        <v>11</v>
      </c>
      <c r="L222" s="241">
        <v>2026</v>
      </c>
      <c r="M222" s="24"/>
      <c r="N222" s="24"/>
      <c r="O222" s="9"/>
      <c r="P222" s="230"/>
      <c r="Q222" s="229" t="s">
        <v>419</v>
      </c>
      <c r="R222" s="153"/>
      <c r="S222" s="9"/>
      <c r="T222" s="7"/>
      <c r="U222" s="7"/>
      <c r="V222" s="7"/>
      <c r="W222" s="7"/>
      <c r="X222" s="9"/>
      <c r="Y222" s="9"/>
      <c r="Z222" s="9"/>
      <c r="AA222" s="9"/>
      <c r="AB222" s="9"/>
      <c r="AC222" s="7"/>
      <c r="AD222" s="7"/>
      <c r="AE222" s="7"/>
      <c r="AF222" s="7"/>
      <c r="AG222" s="9"/>
      <c r="AH222" s="9"/>
      <c r="AI222" s="9"/>
      <c r="AJ222" s="9"/>
      <c r="AK222" s="9"/>
      <c r="AL222" s="7"/>
      <c r="AM222" s="8"/>
      <c r="AN222" s="7"/>
      <c r="AO222" s="7"/>
      <c r="AP222" s="9"/>
      <c r="AQ222" s="9"/>
      <c r="AR222" s="9"/>
      <c r="AS222" s="9"/>
      <c r="AT222" s="9"/>
      <c r="AU222" s="7"/>
      <c r="AV222" s="8"/>
    </row>
    <row r="223" spans="1:48" s="2" customFormat="1" ht="48" x14ac:dyDescent="0.25">
      <c r="A223" s="218">
        <f t="shared" si="4"/>
        <v>196</v>
      </c>
      <c r="B223" s="19">
        <v>1</v>
      </c>
      <c r="C223" s="164" t="s">
        <v>455</v>
      </c>
      <c r="D223" s="180" t="s">
        <v>313</v>
      </c>
      <c r="E223" s="28" t="s">
        <v>256</v>
      </c>
      <c r="F223" s="28" t="s">
        <v>17</v>
      </c>
      <c r="G223" s="28" t="s">
        <v>32</v>
      </c>
      <c r="H223" s="19">
        <v>1995</v>
      </c>
      <c r="I223" s="19">
        <v>530.70000000000005</v>
      </c>
      <c r="J223" s="241" t="s">
        <v>11</v>
      </c>
      <c r="K223" s="242" t="s">
        <v>11</v>
      </c>
      <c r="L223" s="241">
        <v>2027</v>
      </c>
      <c r="M223" s="24"/>
      <c r="N223" s="24"/>
      <c r="O223" s="9"/>
      <c r="P223" s="230"/>
      <c r="Q223" s="229" t="s">
        <v>419</v>
      </c>
      <c r="R223" s="153"/>
      <c r="S223" s="9"/>
      <c r="T223" s="7"/>
      <c r="U223" s="7"/>
      <c r="V223" s="7"/>
      <c r="W223" s="7"/>
      <c r="X223" s="9"/>
      <c r="Y223" s="9"/>
      <c r="Z223" s="9"/>
      <c r="AA223" s="9"/>
      <c r="AB223" s="9"/>
      <c r="AC223" s="7"/>
      <c r="AD223" s="7"/>
      <c r="AE223" s="7"/>
      <c r="AF223" s="7"/>
      <c r="AG223" s="9"/>
      <c r="AH223" s="9"/>
      <c r="AI223" s="9"/>
      <c r="AJ223" s="9"/>
      <c r="AK223" s="9"/>
      <c r="AL223" s="7"/>
      <c r="AM223" s="8"/>
      <c r="AN223" s="7"/>
      <c r="AO223" s="7"/>
      <c r="AP223" s="9"/>
      <c r="AQ223" s="9"/>
      <c r="AR223" s="9"/>
      <c r="AS223" s="9"/>
      <c r="AT223" s="9"/>
      <c r="AU223" s="7"/>
      <c r="AV223" s="8"/>
    </row>
    <row r="224" spans="1:48" s="2" customFormat="1" ht="84" x14ac:dyDescent="0.25">
      <c r="A224" s="218">
        <f t="shared" si="4"/>
        <v>197</v>
      </c>
      <c r="B224" s="156">
        <v>1</v>
      </c>
      <c r="C224" s="164" t="s">
        <v>259</v>
      </c>
      <c r="D224" s="215" t="s">
        <v>434</v>
      </c>
      <c r="E224" s="28" t="s">
        <v>257</v>
      </c>
      <c r="F224" s="28" t="s">
        <v>258</v>
      </c>
      <c r="G224" s="28" t="s">
        <v>32</v>
      </c>
      <c r="H224" s="19">
        <v>1989</v>
      </c>
      <c r="I224" s="19">
        <v>217.7</v>
      </c>
      <c r="J224" s="241" t="s">
        <v>11</v>
      </c>
      <c r="K224" s="242" t="s">
        <v>11</v>
      </c>
      <c r="L224" s="241">
        <v>2027</v>
      </c>
      <c r="M224" s="24"/>
      <c r="N224" s="24"/>
      <c r="O224" s="9"/>
      <c r="P224" s="230"/>
      <c r="Q224" s="229" t="s">
        <v>419</v>
      </c>
      <c r="R224" s="153"/>
      <c r="S224" s="9"/>
      <c r="T224" s="7"/>
      <c r="U224" s="7"/>
      <c r="V224" s="7"/>
      <c r="W224" s="7"/>
      <c r="X224" s="9"/>
      <c r="Y224" s="9"/>
      <c r="Z224" s="9"/>
      <c r="AA224" s="9"/>
      <c r="AB224" s="9"/>
      <c r="AC224" s="7"/>
      <c r="AD224" s="7"/>
      <c r="AE224" s="7"/>
      <c r="AF224" s="7"/>
      <c r="AG224" s="9"/>
      <c r="AH224" s="9"/>
      <c r="AI224" s="9"/>
      <c r="AJ224" s="9"/>
      <c r="AK224" s="9"/>
      <c r="AL224" s="7"/>
      <c r="AM224" s="8"/>
      <c r="AN224" s="7"/>
      <c r="AO224" s="7"/>
      <c r="AP224" s="9"/>
      <c r="AQ224" s="9"/>
      <c r="AR224" s="9"/>
      <c r="AS224" s="9"/>
      <c r="AT224" s="9"/>
      <c r="AU224" s="7"/>
      <c r="AV224" s="8"/>
    </row>
    <row r="225" spans="1:48" s="2" customFormat="1" ht="54" customHeight="1" x14ac:dyDescent="0.25">
      <c r="A225" s="218">
        <f t="shared" si="4"/>
        <v>198</v>
      </c>
      <c r="B225" s="156">
        <v>1</v>
      </c>
      <c r="C225" s="165"/>
      <c r="D225" s="216"/>
      <c r="E225" s="28" t="s">
        <v>260</v>
      </c>
      <c r="F225" s="28" t="s">
        <v>261</v>
      </c>
      <c r="G225" s="28"/>
      <c r="H225" s="19"/>
      <c r="I225" s="19">
        <v>69</v>
      </c>
      <c r="J225" s="241" t="s">
        <v>11</v>
      </c>
      <c r="K225" s="242" t="s">
        <v>11</v>
      </c>
      <c r="L225" s="241">
        <v>2027</v>
      </c>
      <c r="M225" s="24"/>
      <c r="N225" s="24"/>
      <c r="O225" s="9"/>
      <c r="P225" s="230"/>
      <c r="Q225" s="229" t="s">
        <v>419</v>
      </c>
      <c r="R225" s="153"/>
      <c r="S225" s="9"/>
      <c r="T225" s="7"/>
      <c r="U225" s="7"/>
      <c r="V225" s="7"/>
      <c r="W225" s="7"/>
      <c r="X225" s="9"/>
      <c r="Y225" s="9"/>
      <c r="Z225" s="9"/>
      <c r="AA225" s="9"/>
      <c r="AB225" s="9"/>
      <c r="AC225" s="7"/>
      <c r="AD225" s="7"/>
      <c r="AE225" s="7"/>
      <c r="AF225" s="7"/>
      <c r="AG225" s="9"/>
      <c r="AH225" s="9"/>
      <c r="AI225" s="9"/>
      <c r="AJ225" s="9"/>
      <c r="AK225" s="9"/>
      <c r="AL225" s="7"/>
      <c r="AM225" s="8"/>
      <c r="AN225" s="7"/>
      <c r="AO225" s="7"/>
      <c r="AP225" s="9"/>
      <c r="AQ225" s="9"/>
      <c r="AR225" s="9"/>
      <c r="AS225" s="9"/>
      <c r="AT225" s="9"/>
      <c r="AU225" s="7"/>
      <c r="AV225" s="8"/>
    </row>
    <row r="226" spans="1:48" s="2" customFormat="1" ht="66" customHeight="1" x14ac:dyDescent="0.25">
      <c r="A226" s="218">
        <f t="shared" si="4"/>
        <v>199</v>
      </c>
      <c r="B226" s="19">
        <v>1</v>
      </c>
      <c r="C226" s="165" t="s">
        <v>262</v>
      </c>
      <c r="D226" s="180" t="s">
        <v>262</v>
      </c>
      <c r="E226" s="28" t="s">
        <v>12</v>
      </c>
      <c r="F226" s="28" t="s">
        <v>263</v>
      </c>
      <c r="G226" s="28" t="s">
        <v>29</v>
      </c>
      <c r="H226" s="19">
        <v>1986</v>
      </c>
      <c r="I226" s="19">
        <v>276.60000000000002</v>
      </c>
      <c r="J226" s="241" t="s">
        <v>11</v>
      </c>
      <c r="K226" s="242" t="s">
        <v>11</v>
      </c>
      <c r="L226" s="241">
        <v>2027</v>
      </c>
      <c r="M226" s="24"/>
      <c r="N226" s="24"/>
      <c r="O226" s="9"/>
      <c r="P226" s="230"/>
      <c r="Q226" s="229" t="s">
        <v>419</v>
      </c>
      <c r="R226" s="153"/>
      <c r="S226" s="9"/>
      <c r="T226" s="7"/>
      <c r="U226" s="7"/>
      <c r="V226" s="7"/>
      <c r="W226" s="7"/>
      <c r="X226" s="9"/>
      <c r="Y226" s="9"/>
      <c r="Z226" s="9"/>
      <c r="AA226" s="9"/>
      <c r="AB226" s="9"/>
      <c r="AC226" s="7"/>
      <c r="AD226" s="7"/>
      <c r="AE226" s="7"/>
      <c r="AF226" s="7"/>
      <c r="AG226" s="9"/>
      <c r="AH226" s="9"/>
      <c r="AI226" s="9"/>
      <c r="AJ226" s="9"/>
      <c r="AK226" s="9"/>
      <c r="AL226" s="7"/>
      <c r="AM226" s="8"/>
      <c r="AN226" s="7"/>
      <c r="AO226" s="7"/>
      <c r="AP226" s="9"/>
      <c r="AQ226" s="9"/>
      <c r="AR226" s="9"/>
      <c r="AS226" s="9"/>
      <c r="AT226" s="9"/>
      <c r="AU226" s="7"/>
      <c r="AV226" s="8"/>
    </row>
    <row r="227" spans="1:48" s="2" customFormat="1" ht="51" customHeight="1" x14ac:dyDescent="0.25">
      <c r="A227" s="218">
        <f t="shared" si="4"/>
        <v>200</v>
      </c>
      <c r="B227" s="19">
        <v>1</v>
      </c>
      <c r="C227" s="164" t="s">
        <v>56</v>
      </c>
      <c r="D227" s="180" t="s">
        <v>56</v>
      </c>
      <c r="E227" s="28" t="s">
        <v>57</v>
      </c>
      <c r="F227" s="28" t="s">
        <v>264</v>
      </c>
      <c r="G227" s="28" t="s">
        <v>31</v>
      </c>
      <c r="H227" s="19">
        <v>1979</v>
      </c>
      <c r="I227" s="19">
        <v>0</v>
      </c>
      <c r="J227" s="241" t="s">
        <v>11</v>
      </c>
      <c r="K227" s="242" t="s">
        <v>11</v>
      </c>
      <c r="L227" s="241">
        <v>2027</v>
      </c>
      <c r="M227" s="24"/>
      <c r="N227" s="24"/>
      <c r="O227" s="9"/>
      <c r="P227" s="230"/>
      <c r="Q227" s="229" t="s">
        <v>419</v>
      </c>
      <c r="R227" s="153"/>
      <c r="S227" s="9"/>
      <c r="T227" s="7"/>
      <c r="U227" s="7"/>
      <c r="V227" s="7"/>
      <c r="W227" s="7"/>
      <c r="X227" s="9"/>
      <c r="Y227" s="9"/>
      <c r="Z227" s="9"/>
      <c r="AA227" s="9"/>
      <c r="AB227" s="9"/>
      <c r="AC227" s="7"/>
      <c r="AD227" s="7"/>
      <c r="AE227" s="7"/>
      <c r="AF227" s="7"/>
      <c r="AG227" s="9"/>
      <c r="AH227" s="9"/>
      <c r="AI227" s="9"/>
      <c r="AJ227" s="9"/>
      <c r="AK227" s="9"/>
      <c r="AL227" s="7"/>
      <c r="AM227" s="8"/>
      <c r="AN227" s="7"/>
      <c r="AO227" s="7"/>
      <c r="AP227" s="9"/>
      <c r="AQ227" s="9"/>
      <c r="AR227" s="9"/>
      <c r="AS227" s="9"/>
      <c r="AT227" s="9"/>
      <c r="AU227" s="7"/>
      <c r="AV227" s="8"/>
    </row>
    <row r="228" spans="1:48" s="2" customFormat="1" ht="76.5" customHeight="1" x14ac:dyDescent="0.25">
      <c r="A228" s="218">
        <f t="shared" si="4"/>
        <v>201</v>
      </c>
      <c r="B228" s="156">
        <v>1</v>
      </c>
      <c r="C228" s="164" t="s">
        <v>83</v>
      </c>
      <c r="D228" s="182" t="s">
        <v>83</v>
      </c>
      <c r="E228" s="28" t="s">
        <v>265</v>
      </c>
      <c r="F228" s="28" t="s">
        <v>266</v>
      </c>
      <c r="G228" s="28" t="s">
        <v>31</v>
      </c>
      <c r="H228" s="19">
        <v>1965</v>
      </c>
      <c r="I228" s="19">
        <v>81.400000000000006</v>
      </c>
      <c r="J228" s="241" t="s">
        <v>11</v>
      </c>
      <c r="K228" s="242" t="s">
        <v>11</v>
      </c>
      <c r="L228" s="241">
        <v>2027</v>
      </c>
      <c r="M228" s="24"/>
      <c r="N228" s="24"/>
      <c r="O228" s="9"/>
      <c r="P228" s="230"/>
      <c r="Q228" s="229" t="s">
        <v>419</v>
      </c>
      <c r="R228" s="153"/>
      <c r="S228" s="9"/>
      <c r="T228" s="7"/>
      <c r="U228" s="7"/>
      <c r="V228" s="7"/>
      <c r="W228" s="7"/>
      <c r="X228" s="9"/>
      <c r="Y228" s="9"/>
      <c r="Z228" s="9"/>
      <c r="AA228" s="9"/>
      <c r="AB228" s="9"/>
      <c r="AC228" s="7"/>
      <c r="AD228" s="7"/>
      <c r="AE228" s="7"/>
      <c r="AF228" s="7"/>
      <c r="AG228" s="9"/>
      <c r="AH228" s="9"/>
      <c r="AI228" s="9"/>
      <c r="AJ228" s="9"/>
      <c r="AK228" s="9"/>
      <c r="AL228" s="7"/>
      <c r="AM228" s="8"/>
      <c r="AN228" s="7"/>
      <c r="AO228" s="7"/>
      <c r="AP228" s="9"/>
      <c r="AQ228" s="9"/>
      <c r="AR228" s="9"/>
      <c r="AS228" s="9"/>
      <c r="AT228" s="9"/>
      <c r="AU228" s="7"/>
      <c r="AV228" s="8"/>
    </row>
    <row r="229" spans="1:48" s="2" customFormat="1" ht="77.25" customHeight="1" x14ac:dyDescent="0.25">
      <c r="A229" s="218">
        <f t="shared" si="4"/>
        <v>202</v>
      </c>
      <c r="B229" s="156">
        <v>1</v>
      </c>
      <c r="C229" s="166"/>
      <c r="D229" s="184"/>
      <c r="E229" s="28" t="s">
        <v>267</v>
      </c>
      <c r="F229" s="28" t="s">
        <v>266</v>
      </c>
      <c r="G229" s="28"/>
      <c r="H229" s="19">
        <v>1986</v>
      </c>
      <c r="I229" s="19">
        <v>32.4</v>
      </c>
      <c r="J229" s="241" t="s">
        <v>11</v>
      </c>
      <c r="K229" s="242" t="s">
        <v>11</v>
      </c>
      <c r="L229" s="241">
        <v>2027</v>
      </c>
      <c r="M229" s="24"/>
      <c r="N229" s="24"/>
      <c r="O229" s="9"/>
      <c r="P229" s="230"/>
      <c r="Q229" s="229" t="s">
        <v>419</v>
      </c>
      <c r="R229" s="153"/>
      <c r="S229" s="9"/>
      <c r="T229" s="7"/>
      <c r="U229" s="7"/>
      <c r="V229" s="7"/>
      <c r="W229" s="7"/>
      <c r="X229" s="9"/>
      <c r="Y229" s="9"/>
      <c r="Z229" s="9"/>
      <c r="AA229" s="9"/>
      <c r="AB229" s="9"/>
      <c r="AC229" s="7"/>
      <c r="AD229" s="7"/>
      <c r="AE229" s="7"/>
      <c r="AF229" s="7"/>
      <c r="AG229" s="9"/>
      <c r="AH229" s="9"/>
      <c r="AI229" s="9"/>
      <c r="AJ229" s="9"/>
      <c r="AK229" s="9"/>
      <c r="AL229" s="7"/>
      <c r="AM229" s="8"/>
      <c r="AN229" s="7"/>
      <c r="AO229" s="7"/>
      <c r="AP229" s="9"/>
      <c r="AQ229" s="9"/>
      <c r="AR229" s="9"/>
      <c r="AS229" s="9"/>
      <c r="AT229" s="9"/>
      <c r="AU229" s="7"/>
      <c r="AV229" s="8"/>
    </row>
    <row r="230" spans="1:48" s="2" customFormat="1" ht="59.25" customHeight="1" x14ac:dyDescent="0.25">
      <c r="A230" s="218">
        <f t="shared" si="4"/>
        <v>203</v>
      </c>
      <c r="B230" s="156">
        <v>1</v>
      </c>
      <c r="C230" s="165"/>
      <c r="D230" s="183"/>
      <c r="E230" s="28" t="s">
        <v>268</v>
      </c>
      <c r="F230" s="28" t="s">
        <v>266</v>
      </c>
      <c r="G230" s="28"/>
      <c r="H230" s="19">
        <v>1986</v>
      </c>
      <c r="I230" s="19">
        <v>34.5</v>
      </c>
      <c r="J230" s="241" t="s">
        <v>11</v>
      </c>
      <c r="K230" s="242" t="s">
        <v>11</v>
      </c>
      <c r="L230" s="241">
        <v>2027</v>
      </c>
      <c r="M230" s="24"/>
      <c r="N230" s="24"/>
      <c r="O230" s="9"/>
      <c r="P230" s="230"/>
      <c r="Q230" s="229" t="s">
        <v>419</v>
      </c>
      <c r="R230" s="153"/>
      <c r="S230" s="9"/>
      <c r="T230" s="7"/>
      <c r="U230" s="7"/>
      <c r="V230" s="7"/>
      <c r="W230" s="7"/>
      <c r="X230" s="9"/>
      <c r="Y230" s="9"/>
      <c r="Z230" s="9"/>
      <c r="AA230" s="9"/>
      <c r="AB230" s="9"/>
      <c r="AC230" s="7"/>
      <c r="AD230" s="7"/>
      <c r="AE230" s="7"/>
      <c r="AF230" s="7"/>
      <c r="AG230" s="9"/>
      <c r="AH230" s="9"/>
      <c r="AI230" s="9"/>
      <c r="AJ230" s="9"/>
      <c r="AK230" s="9"/>
      <c r="AL230" s="7"/>
      <c r="AM230" s="8"/>
      <c r="AN230" s="7"/>
      <c r="AO230" s="7"/>
      <c r="AP230" s="9"/>
      <c r="AQ230" s="9"/>
      <c r="AR230" s="9"/>
      <c r="AS230" s="9"/>
      <c r="AT230" s="9"/>
      <c r="AU230" s="7"/>
      <c r="AV230" s="8"/>
    </row>
    <row r="231" spans="1:48" s="2" customFormat="1" ht="66" customHeight="1" x14ac:dyDescent="0.25">
      <c r="A231" s="218">
        <f t="shared" si="4"/>
        <v>204</v>
      </c>
      <c r="B231" s="19">
        <v>1</v>
      </c>
      <c r="C231" s="165" t="s">
        <v>269</v>
      </c>
      <c r="D231" s="180" t="s">
        <v>314</v>
      </c>
      <c r="E231" s="28" t="s">
        <v>270</v>
      </c>
      <c r="F231" s="28" t="s">
        <v>271</v>
      </c>
      <c r="G231" s="28" t="s">
        <v>35</v>
      </c>
      <c r="H231" s="19">
        <v>1984</v>
      </c>
      <c r="I231" s="19">
        <v>1130.2</v>
      </c>
      <c r="J231" s="241" t="s">
        <v>11</v>
      </c>
      <c r="K231" s="242" t="s">
        <v>11</v>
      </c>
      <c r="L231" s="241">
        <v>2027</v>
      </c>
      <c r="M231" s="24"/>
      <c r="N231" s="24"/>
      <c r="O231" s="9"/>
      <c r="P231" s="230"/>
      <c r="Q231" s="229" t="s">
        <v>419</v>
      </c>
      <c r="R231" s="153"/>
      <c r="S231" s="9"/>
      <c r="T231" s="7"/>
      <c r="U231" s="7"/>
      <c r="V231" s="7"/>
      <c r="W231" s="7"/>
      <c r="X231" s="9"/>
      <c r="Y231" s="9"/>
      <c r="Z231" s="9"/>
      <c r="AA231" s="9"/>
      <c r="AB231" s="9"/>
      <c r="AC231" s="7"/>
      <c r="AD231" s="7"/>
      <c r="AE231" s="7"/>
      <c r="AF231" s="7"/>
      <c r="AG231" s="9"/>
      <c r="AH231" s="9"/>
      <c r="AI231" s="9"/>
      <c r="AJ231" s="9"/>
      <c r="AK231" s="9"/>
      <c r="AL231" s="7"/>
      <c r="AM231" s="8"/>
      <c r="AN231" s="7"/>
      <c r="AO231" s="7"/>
      <c r="AP231" s="9"/>
      <c r="AQ231" s="9"/>
      <c r="AR231" s="9"/>
      <c r="AS231" s="9"/>
      <c r="AT231" s="9"/>
      <c r="AU231" s="7"/>
      <c r="AV231" s="8"/>
    </row>
    <row r="232" spans="1:48" s="2" customFormat="1" ht="67.5" customHeight="1" x14ac:dyDescent="0.25">
      <c r="A232" s="218">
        <f t="shared" si="4"/>
        <v>205</v>
      </c>
      <c r="B232" s="19">
        <v>1</v>
      </c>
      <c r="C232" s="24" t="s">
        <v>272</v>
      </c>
      <c r="D232" s="180" t="s">
        <v>272</v>
      </c>
      <c r="E232" s="28" t="s">
        <v>273</v>
      </c>
      <c r="F232" s="28" t="s">
        <v>274</v>
      </c>
      <c r="G232" s="28" t="s">
        <v>289</v>
      </c>
      <c r="H232" s="19">
        <v>1977</v>
      </c>
      <c r="I232" s="19">
        <v>285.5</v>
      </c>
      <c r="J232" s="241" t="s">
        <v>11</v>
      </c>
      <c r="K232" s="242" t="s">
        <v>11</v>
      </c>
      <c r="L232" s="241">
        <v>2027</v>
      </c>
      <c r="M232" s="24"/>
      <c r="N232" s="24"/>
      <c r="O232" s="9"/>
      <c r="P232" s="230"/>
      <c r="Q232" s="229" t="s">
        <v>419</v>
      </c>
      <c r="R232" s="153"/>
      <c r="S232" s="9"/>
      <c r="T232" s="7"/>
      <c r="U232" s="7"/>
      <c r="V232" s="7"/>
      <c r="W232" s="7"/>
      <c r="X232" s="9"/>
      <c r="Y232" s="9"/>
      <c r="Z232" s="9"/>
      <c r="AA232" s="9"/>
      <c r="AB232" s="9"/>
      <c r="AC232" s="7"/>
      <c r="AD232" s="7"/>
      <c r="AE232" s="7"/>
      <c r="AF232" s="7"/>
      <c r="AG232" s="9"/>
      <c r="AH232" s="9"/>
      <c r="AI232" s="9"/>
      <c r="AJ232" s="9"/>
      <c r="AK232" s="9"/>
      <c r="AL232" s="7"/>
      <c r="AM232" s="8"/>
      <c r="AN232" s="7"/>
      <c r="AO232" s="7"/>
      <c r="AP232" s="9"/>
      <c r="AQ232" s="9"/>
      <c r="AR232" s="9"/>
      <c r="AS232" s="9"/>
      <c r="AT232" s="9"/>
      <c r="AU232" s="7"/>
      <c r="AV232" s="8"/>
    </row>
    <row r="233" spans="1:48" s="2" customFormat="1" ht="53.25" customHeight="1" x14ac:dyDescent="0.25">
      <c r="A233" s="218">
        <f t="shared" si="4"/>
        <v>206</v>
      </c>
      <c r="B233" s="19">
        <v>1</v>
      </c>
      <c r="C233" s="24" t="s">
        <v>58</v>
      </c>
      <c r="D233" s="180" t="s">
        <v>58</v>
      </c>
      <c r="E233" s="28" t="s">
        <v>36</v>
      </c>
      <c r="F233" s="28" t="s">
        <v>275</v>
      </c>
      <c r="G233" s="28" t="s">
        <v>75</v>
      </c>
      <c r="H233" s="19">
        <v>1988</v>
      </c>
      <c r="I233" s="19">
        <v>1200</v>
      </c>
      <c r="J233" s="241" t="s">
        <v>11</v>
      </c>
      <c r="K233" s="242" t="s">
        <v>11</v>
      </c>
      <c r="L233" s="241">
        <v>2030</v>
      </c>
      <c r="M233" s="24"/>
      <c r="N233" s="24"/>
      <c r="O233" s="9"/>
      <c r="P233" s="230"/>
      <c r="Q233" s="229" t="s">
        <v>419</v>
      </c>
      <c r="R233" s="153"/>
      <c r="S233" s="9"/>
      <c r="T233" s="7"/>
      <c r="U233" s="7"/>
      <c r="V233" s="7"/>
      <c r="W233" s="7"/>
      <c r="X233" s="9"/>
      <c r="Y233" s="9"/>
      <c r="Z233" s="9"/>
      <c r="AA233" s="9"/>
      <c r="AB233" s="9"/>
      <c r="AC233" s="7"/>
      <c r="AD233" s="7"/>
      <c r="AE233" s="7"/>
      <c r="AF233" s="7"/>
      <c r="AG233" s="9"/>
      <c r="AH233" s="9"/>
      <c r="AI233" s="9"/>
      <c r="AJ233" s="9"/>
      <c r="AK233" s="9"/>
      <c r="AL233" s="7"/>
      <c r="AM233" s="8"/>
      <c r="AN233" s="7"/>
      <c r="AO233" s="7"/>
      <c r="AP233" s="9"/>
      <c r="AQ233" s="9"/>
      <c r="AR233" s="9"/>
      <c r="AS233" s="9"/>
      <c r="AT233" s="9"/>
      <c r="AU233" s="7"/>
      <c r="AV233" s="8"/>
    </row>
    <row r="234" spans="1:48" s="2" customFormat="1" ht="53.25" customHeight="1" x14ac:dyDescent="0.25">
      <c r="A234" s="218">
        <f t="shared" si="4"/>
        <v>207</v>
      </c>
      <c r="B234" s="19">
        <v>1</v>
      </c>
      <c r="C234" s="24" t="s">
        <v>81</v>
      </c>
      <c r="D234" s="180" t="s">
        <v>313</v>
      </c>
      <c r="E234" s="28" t="s">
        <v>54</v>
      </c>
      <c r="F234" s="28" t="s">
        <v>276</v>
      </c>
      <c r="G234" s="28" t="s">
        <v>29</v>
      </c>
      <c r="H234" s="19">
        <v>1975</v>
      </c>
      <c r="I234" s="19">
        <v>285.5</v>
      </c>
      <c r="J234" s="241" t="s">
        <v>11</v>
      </c>
      <c r="K234" s="242" t="s">
        <v>11</v>
      </c>
      <c r="L234" s="241">
        <v>2027</v>
      </c>
      <c r="M234" s="24"/>
      <c r="N234" s="24"/>
      <c r="O234" s="9"/>
      <c r="P234" s="230"/>
      <c r="Q234" s="229" t="s">
        <v>419</v>
      </c>
      <c r="R234" s="153"/>
      <c r="S234" s="9"/>
      <c r="T234" s="7"/>
      <c r="U234" s="7"/>
      <c r="V234" s="7"/>
      <c r="W234" s="7"/>
      <c r="X234" s="9"/>
      <c r="Y234" s="9"/>
      <c r="Z234" s="9"/>
      <c r="AA234" s="9"/>
      <c r="AB234" s="9"/>
      <c r="AC234" s="7"/>
      <c r="AD234" s="7"/>
      <c r="AE234" s="7"/>
      <c r="AF234" s="7"/>
      <c r="AG234" s="9"/>
      <c r="AH234" s="9"/>
      <c r="AI234" s="9"/>
      <c r="AJ234" s="9"/>
      <c r="AK234" s="9"/>
      <c r="AL234" s="7"/>
      <c r="AM234" s="8"/>
      <c r="AN234" s="7"/>
      <c r="AO234" s="7"/>
      <c r="AP234" s="9"/>
      <c r="AQ234" s="9"/>
      <c r="AR234" s="9"/>
      <c r="AS234" s="9"/>
      <c r="AT234" s="9"/>
      <c r="AU234" s="7"/>
      <c r="AV234" s="8"/>
    </row>
    <row r="235" spans="1:48" s="2" customFormat="1" ht="53.25" customHeight="1" x14ac:dyDescent="0.25">
      <c r="A235" s="218">
        <f t="shared" ref="A235" si="5">A234+1</f>
        <v>208</v>
      </c>
      <c r="B235" s="19">
        <v>1</v>
      </c>
      <c r="C235" s="24" t="s">
        <v>460</v>
      </c>
      <c r="D235" s="253"/>
      <c r="E235" s="28" t="s">
        <v>458</v>
      </c>
      <c r="F235" s="28" t="s">
        <v>459</v>
      </c>
      <c r="G235" s="28" t="s">
        <v>29</v>
      </c>
      <c r="H235" s="19">
        <v>2003</v>
      </c>
      <c r="I235" s="19">
        <v>280</v>
      </c>
      <c r="J235" s="241" t="s">
        <v>11</v>
      </c>
      <c r="K235" s="241" t="s">
        <v>11</v>
      </c>
      <c r="L235" s="241">
        <v>2026</v>
      </c>
      <c r="M235"/>
      <c r="N235" s="24"/>
      <c r="O235" s="9"/>
      <c r="P235" s="230"/>
      <c r="Q235" s="229" t="s">
        <v>419</v>
      </c>
      <c r="R235" s="153"/>
      <c r="S235" s="9"/>
      <c r="T235" s="7"/>
      <c r="U235" s="7"/>
      <c r="V235" s="7"/>
      <c r="W235" s="7"/>
      <c r="X235" s="9"/>
      <c r="Y235" s="9"/>
      <c r="Z235" s="9"/>
      <c r="AA235" s="9"/>
      <c r="AB235" s="9"/>
      <c r="AC235" s="7"/>
      <c r="AD235" s="7"/>
      <c r="AE235" s="7"/>
      <c r="AF235" s="7"/>
      <c r="AG235" s="9"/>
      <c r="AH235" s="9"/>
      <c r="AI235" s="9"/>
      <c r="AJ235" s="9"/>
      <c r="AK235" s="9"/>
      <c r="AL235" s="7"/>
      <c r="AM235" s="8"/>
      <c r="AN235" s="7"/>
      <c r="AO235" s="7"/>
      <c r="AP235" s="9"/>
      <c r="AQ235" s="9"/>
      <c r="AR235" s="9"/>
      <c r="AS235" s="9"/>
      <c r="AT235" s="9"/>
      <c r="AU235" s="7"/>
      <c r="AV235" s="8"/>
    </row>
    <row r="236" spans="1:48" s="2" customFormat="1" ht="19.5" customHeight="1" x14ac:dyDescent="0.25">
      <c r="B236" s="196"/>
      <c r="C236" s="221" t="s">
        <v>418</v>
      </c>
      <c r="D236" s="196"/>
      <c r="E236" s="197"/>
      <c r="F236" s="217"/>
      <c r="G236" s="214"/>
      <c r="H236" s="210"/>
      <c r="I236" s="19"/>
      <c r="J236" s="241"/>
      <c r="K236" s="247"/>
      <c r="L236" s="241"/>
      <c r="M236" s="24"/>
      <c r="N236" s="24"/>
      <c r="O236" s="9"/>
      <c r="P236" s="230"/>
      <c r="Q236" s="229"/>
      <c r="R236" s="153"/>
      <c r="S236" s="9"/>
      <c r="T236" s="7"/>
      <c r="U236" s="7"/>
      <c r="V236" s="7"/>
      <c r="W236" s="7"/>
      <c r="X236" s="9"/>
      <c r="Y236" s="9"/>
      <c r="Z236" s="9"/>
      <c r="AA236" s="9"/>
      <c r="AB236" s="9"/>
      <c r="AC236" s="7"/>
      <c r="AD236" s="7"/>
      <c r="AE236" s="7"/>
      <c r="AF236" s="7"/>
      <c r="AG236" s="9"/>
      <c r="AH236" s="9"/>
      <c r="AI236" s="9"/>
      <c r="AJ236" s="9"/>
      <c r="AK236" s="9"/>
      <c r="AL236" s="7"/>
      <c r="AM236" s="8"/>
      <c r="AN236" s="7"/>
      <c r="AO236" s="7"/>
      <c r="AP236" s="9"/>
      <c r="AQ236" s="9"/>
      <c r="AR236" s="9"/>
      <c r="AS236" s="9"/>
      <c r="AT236" s="9"/>
      <c r="AU236" s="7"/>
      <c r="AV236" s="8"/>
    </row>
    <row r="237" spans="1:48" s="2" customFormat="1" ht="53.25" customHeight="1" x14ac:dyDescent="0.25">
      <c r="A237" s="19">
        <f>A235+1</f>
        <v>209</v>
      </c>
      <c r="B237" s="19">
        <v>1</v>
      </c>
      <c r="C237" s="24" t="s">
        <v>84</v>
      </c>
      <c r="D237" s="180" t="s">
        <v>84</v>
      </c>
      <c r="E237" s="28" t="s">
        <v>85</v>
      </c>
      <c r="F237" s="28" t="s">
        <v>275</v>
      </c>
      <c r="G237" s="28" t="s">
        <v>282</v>
      </c>
      <c r="H237" s="19"/>
      <c r="I237" s="19"/>
      <c r="J237" s="241" t="s">
        <v>435</v>
      </c>
      <c r="K237" s="242" t="s">
        <v>435</v>
      </c>
      <c r="L237" s="241">
        <v>2027</v>
      </c>
      <c r="M237" s="24"/>
      <c r="N237" s="24"/>
      <c r="O237" s="9"/>
      <c r="P237" s="230"/>
      <c r="Q237" s="229" t="s">
        <v>420</v>
      </c>
      <c r="R237" s="153"/>
      <c r="S237" s="9"/>
      <c r="T237" s="7"/>
      <c r="U237" s="7"/>
      <c r="V237" s="7"/>
      <c r="W237" s="7"/>
      <c r="X237" s="9"/>
      <c r="Y237" s="9"/>
      <c r="Z237" s="9"/>
      <c r="AA237" s="9"/>
      <c r="AB237" s="9"/>
      <c r="AC237" s="7"/>
      <c r="AD237" s="7"/>
      <c r="AE237" s="7"/>
      <c r="AF237" s="7"/>
      <c r="AG237" s="9"/>
      <c r="AH237" s="9"/>
      <c r="AI237" s="9"/>
      <c r="AJ237" s="9"/>
      <c r="AK237" s="9"/>
      <c r="AL237" s="7"/>
      <c r="AM237" s="8"/>
      <c r="AN237" s="7"/>
      <c r="AO237" s="7"/>
      <c r="AP237" s="9"/>
      <c r="AQ237" s="9"/>
      <c r="AR237" s="9"/>
      <c r="AS237" s="9"/>
      <c r="AT237" s="9"/>
      <c r="AU237" s="7"/>
      <c r="AV237" s="8"/>
    </row>
    <row r="238" spans="1:48" s="2" customFormat="1" ht="53.25" customHeight="1" x14ac:dyDescent="0.25">
      <c r="A238" s="19">
        <f>A237+1</f>
        <v>210</v>
      </c>
      <c r="B238" s="19">
        <v>1</v>
      </c>
      <c r="C238" s="24" t="s">
        <v>84</v>
      </c>
      <c r="D238" s="180" t="s">
        <v>84</v>
      </c>
      <c r="E238" s="28" t="s">
        <v>277</v>
      </c>
      <c r="F238" s="28" t="s">
        <v>278</v>
      </c>
      <c r="G238" s="28" t="s">
        <v>31</v>
      </c>
      <c r="H238" s="19"/>
      <c r="I238" s="19"/>
      <c r="J238" s="241" t="s">
        <v>435</v>
      </c>
      <c r="K238" s="242" t="s">
        <v>435</v>
      </c>
      <c r="L238" s="241">
        <v>2027</v>
      </c>
      <c r="M238" s="24"/>
      <c r="N238" s="24"/>
      <c r="O238" s="9"/>
      <c r="P238" s="230"/>
      <c r="Q238" s="229" t="s">
        <v>420</v>
      </c>
      <c r="R238" s="153"/>
      <c r="S238" s="9"/>
      <c r="T238" s="7"/>
      <c r="U238" s="7"/>
      <c r="V238" s="7"/>
      <c r="W238" s="7"/>
      <c r="X238" s="9"/>
      <c r="Y238" s="9"/>
      <c r="Z238" s="9"/>
      <c r="AA238" s="9"/>
      <c r="AB238" s="9"/>
      <c r="AC238" s="7"/>
      <c r="AD238" s="7"/>
      <c r="AE238" s="7"/>
      <c r="AF238" s="7"/>
      <c r="AG238" s="9"/>
      <c r="AH238" s="9"/>
      <c r="AI238" s="9"/>
      <c r="AJ238" s="9"/>
      <c r="AK238" s="9"/>
      <c r="AL238" s="7"/>
      <c r="AM238" s="8"/>
      <c r="AN238" s="7"/>
      <c r="AO238" s="7"/>
      <c r="AP238" s="9"/>
      <c r="AQ238" s="9"/>
      <c r="AR238" s="9"/>
      <c r="AS238" s="9"/>
      <c r="AT238" s="9"/>
      <c r="AU238" s="7"/>
      <c r="AV238" s="8"/>
    </row>
    <row r="239" spans="1:48" s="2" customFormat="1" ht="53.25" customHeight="1" x14ac:dyDescent="0.25">
      <c r="A239" s="19">
        <f t="shared" ref="A239:A241" si="6">A238+1</f>
        <v>211</v>
      </c>
      <c r="B239" s="19">
        <v>1</v>
      </c>
      <c r="C239" s="24" t="s">
        <v>84</v>
      </c>
      <c r="D239" s="180" t="s">
        <v>84</v>
      </c>
      <c r="E239" s="28" t="s">
        <v>293</v>
      </c>
      <c r="F239" s="28" t="s">
        <v>279</v>
      </c>
      <c r="G239" s="28" t="s">
        <v>286</v>
      </c>
      <c r="H239" s="19"/>
      <c r="I239" s="19"/>
      <c r="J239" s="241" t="s">
        <v>435</v>
      </c>
      <c r="K239" s="242" t="s">
        <v>435</v>
      </c>
      <c r="L239" s="241">
        <v>2027</v>
      </c>
      <c r="M239" s="24"/>
      <c r="N239" s="24"/>
      <c r="O239" s="9"/>
      <c r="P239" s="230"/>
      <c r="Q239" s="229" t="s">
        <v>420</v>
      </c>
      <c r="R239" s="153"/>
      <c r="S239" s="9"/>
      <c r="T239" s="7"/>
      <c r="U239" s="7"/>
      <c r="V239" s="7"/>
      <c r="W239" s="7"/>
      <c r="X239" s="9"/>
      <c r="Y239" s="9"/>
      <c r="Z239" s="9"/>
      <c r="AA239" s="9"/>
      <c r="AB239" s="9"/>
      <c r="AC239" s="7"/>
      <c r="AD239" s="7"/>
      <c r="AE239" s="7"/>
      <c r="AF239" s="7"/>
      <c r="AG239" s="9"/>
      <c r="AH239" s="9"/>
      <c r="AI239" s="9"/>
      <c r="AJ239" s="9"/>
      <c r="AK239" s="9"/>
      <c r="AL239" s="7"/>
      <c r="AM239" s="8"/>
      <c r="AN239" s="7"/>
      <c r="AO239" s="7"/>
      <c r="AP239" s="9"/>
      <c r="AQ239" s="9"/>
      <c r="AR239" s="9"/>
      <c r="AS239" s="9"/>
      <c r="AT239" s="9"/>
      <c r="AU239" s="7"/>
      <c r="AV239" s="8"/>
    </row>
    <row r="240" spans="1:48" s="2" customFormat="1" ht="53.25" customHeight="1" x14ac:dyDescent="0.25">
      <c r="A240" s="19">
        <f t="shared" si="6"/>
        <v>212</v>
      </c>
      <c r="B240" s="19">
        <v>1</v>
      </c>
      <c r="C240" s="24" t="s">
        <v>84</v>
      </c>
      <c r="D240" s="180" t="s">
        <v>84</v>
      </c>
      <c r="E240" s="28" t="s">
        <v>86</v>
      </c>
      <c r="F240" s="28" t="s">
        <v>275</v>
      </c>
      <c r="G240" s="28" t="s">
        <v>286</v>
      </c>
      <c r="H240" s="19">
        <v>1956</v>
      </c>
      <c r="I240" s="19">
        <v>155</v>
      </c>
      <c r="J240" s="241" t="s">
        <v>435</v>
      </c>
      <c r="K240" s="242" t="s">
        <v>435</v>
      </c>
      <c r="L240" s="241">
        <v>2027</v>
      </c>
      <c r="M240" s="24"/>
      <c r="N240" s="24"/>
      <c r="O240" s="9"/>
      <c r="P240" s="230"/>
      <c r="Q240" s="229" t="s">
        <v>420</v>
      </c>
      <c r="R240" s="153"/>
      <c r="S240" s="9"/>
      <c r="T240" s="7"/>
      <c r="U240" s="7"/>
      <c r="V240" s="7"/>
      <c r="W240" s="7"/>
      <c r="X240" s="9"/>
      <c r="Y240" s="9"/>
      <c r="Z240" s="9"/>
      <c r="AA240" s="9"/>
      <c r="AB240" s="9"/>
      <c r="AC240" s="7"/>
      <c r="AD240" s="7"/>
      <c r="AE240" s="7"/>
      <c r="AF240" s="7"/>
      <c r="AG240" s="9"/>
      <c r="AH240" s="9"/>
      <c r="AI240" s="9"/>
      <c r="AJ240" s="9"/>
      <c r="AK240" s="9"/>
      <c r="AL240" s="7"/>
      <c r="AM240" s="8"/>
      <c r="AN240" s="7"/>
      <c r="AO240" s="7"/>
      <c r="AP240" s="9"/>
      <c r="AQ240" s="9"/>
      <c r="AR240" s="9"/>
      <c r="AS240" s="9"/>
      <c r="AT240" s="9"/>
      <c r="AU240" s="7"/>
      <c r="AV240" s="8"/>
    </row>
    <row r="241" spans="1:48" s="2" customFormat="1" ht="53.25" customHeight="1" x14ac:dyDescent="0.25">
      <c r="A241" s="19">
        <f t="shared" si="6"/>
        <v>213</v>
      </c>
      <c r="B241" s="19">
        <v>1</v>
      </c>
      <c r="C241" s="24" t="s">
        <v>84</v>
      </c>
      <c r="D241" s="180" t="s">
        <v>84</v>
      </c>
      <c r="E241" s="28" t="s">
        <v>294</v>
      </c>
      <c r="F241" s="28" t="s">
        <v>280</v>
      </c>
      <c r="G241" s="28" t="s">
        <v>286</v>
      </c>
      <c r="H241" s="19"/>
      <c r="I241" s="19"/>
      <c r="J241" s="241" t="s">
        <v>435</v>
      </c>
      <c r="K241" s="242" t="s">
        <v>435</v>
      </c>
      <c r="L241" s="241">
        <v>2027</v>
      </c>
      <c r="M241" s="24"/>
      <c r="N241" s="24"/>
      <c r="O241" s="9"/>
      <c r="P241" s="230"/>
      <c r="Q241" s="229" t="s">
        <v>420</v>
      </c>
      <c r="R241" s="153"/>
      <c r="S241" s="9"/>
      <c r="T241" s="7"/>
      <c r="U241" s="7"/>
      <c r="V241" s="7"/>
      <c r="W241" s="7"/>
      <c r="X241" s="9"/>
      <c r="Y241" s="9"/>
      <c r="Z241" s="9"/>
      <c r="AA241" s="9"/>
      <c r="AB241" s="9"/>
      <c r="AC241" s="7"/>
      <c r="AD241" s="7"/>
      <c r="AE241" s="7"/>
      <c r="AF241" s="7"/>
      <c r="AG241" s="9"/>
      <c r="AH241" s="9"/>
      <c r="AI241" s="9"/>
      <c r="AJ241" s="9"/>
      <c r="AK241" s="9"/>
      <c r="AL241" s="7"/>
      <c r="AM241" s="8"/>
      <c r="AN241" s="7"/>
      <c r="AO241" s="7"/>
      <c r="AP241" s="9"/>
      <c r="AQ241" s="9"/>
      <c r="AR241" s="9"/>
      <c r="AS241" s="9"/>
      <c r="AT241" s="9"/>
      <c r="AU241" s="7"/>
      <c r="AV241" s="8"/>
    </row>
    <row r="242" spans="1:48" s="2" customFormat="1" ht="53.25" customHeight="1" x14ac:dyDescent="0.25">
      <c r="A242" s="19">
        <v>212</v>
      </c>
      <c r="B242" s="19">
        <v>1</v>
      </c>
      <c r="C242" s="24" t="s">
        <v>84</v>
      </c>
      <c r="D242" s="180" t="s">
        <v>84</v>
      </c>
      <c r="E242" s="28" t="s">
        <v>339</v>
      </c>
      <c r="F242" s="28" t="s">
        <v>340</v>
      </c>
      <c r="G242" s="28" t="s">
        <v>286</v>
      </c>
      <c r="H242" s="19"/>
      <c r="I242" s="19"/>
      <c r="J242" s="241" t="s">
        <v>435</v>
      </c>
      <c r="K242" s="242" t="s">
        <v>435</v>
      </c>
      <c r="L242" s="241">
        <v>2027</v>
      </c>
      <c r="M242" s="24"/>
      <c r="N242" s="24"/>
      <c r="O242" s="277"/>
      <c r="P242" s="275"/>
      <c r="Q242" s="229" t="s">
        <v>420</v>
      </c>
      <c r="R242" s="153"/>
      <c r="S242" s="9"/>
      <c r="T242" s="7"/>
      <c r="U242" s="7"/>
      <c r="V242" s="7"/>
      <c r="W242" s="7"/>
      <c r="X242" s="9"/>
      <c r="Y242" s="9"/>
      <c r="Z242" s="9"/>
      <c r="AA242" s="9"/>
      <c r="AB242" s="9"/>
      <c r="AC242" s="7"/>
      <c r="AD242" s="7"/>
      <c r="AE242" s="7"/>
      <c r="AF242" s="7"/>
      <c r="AG242" s="9"/>
      <c r="AH242" s="9"/>
      <c r="AI242" s="9"/>
      <c r="AJ242" s="9"/>
      <c r="AK242" s="9"/>
      <c r="AL242" s="7"/>
      <c r="AM242" s="8"/>
      <c r="AN242" s="7"/>
      <c r="AO242" s="7"/>
      <c r="AP242" s="9"/>
      <c r="AQ242" s="9"/>
      <c r="AR242" s="9"/>
      <c r="AS242" s="9"/>
      <c r="AT242" s="9"/>
      <c r="AU242" s="7"/>
      <c r="AV242" s="8"/>
    </row>
    <row r="243" spans="1:48" x14ac:dyDescent="0.2">
      <c r="A243" s="9"/>
      <c r="B243" s="9"/>
      <c r="C243" s="7"/>
      <c r="D243" s="8"/>
      <c r="E243" s="13"/>
      <c r="F243" s="13"/>
      <c r="G243" s="13"/>
      <c r="H243" s="9"/>
      <c r="I243" s="9"/>
      <c r="J243" s="161"/>
      <c r="K243" s="162"/>
      <c r="L243" s="161"/>
      <c r="M243" s="7"/>
      <c r="N243" s="7"/>
      <c r="O243" s="9"/>
      <c r="P243" s="224"/>
      <c r="Q243" s="223"/>
      <c r="R243" s="153"/>
      <c r="S243" s="9"/>
      <c r="T243" s="7"/>
      <c r="U243" s="7"/>
      <c r="V243" s="7"/>
      <c r="W243" s="7"/>
      <c r="X243" s="9"/>
      <c r="Y243" s="9"/>
      <c r="Z243" s="9"/>
      <c r="AA243" s="9"/>
      <c r="AB243" s="9"/>
      <c r="AC243" s="7"/>
      <c r="AD243" s="7"/>
      <c r="AE243" s="7"/>
      <c r="AF243" s="7"/>
      <c r="AG243" s="9"/>
      <c r="AH243" s="9"/>
      <c r="AI243" s="9"/>
      <c r="AJ243" s="9"/>
      <c r="AK243" s="9"/>
      <c r="AL243" s="7"/>
      <c r="AM243" s="8"/>
      <c r="AN243" s="7"/>
      <c r="AO243" s="7"/>
      <c r="AP243" s="9"/>
      <c r="AQ243" s="9"/>
      <c r="AR243" s="9"/>
      <c r="AS243" s="9"/>
      <c r="AT243" s="9"/>
      <c r="AU243" s="7"/>
      <c r="AV243" s="8"/>
    </row>
    <row r="244" spans="1:48" s="6" customFormat="1" ht="33" customHeight="1" x14ac:dyDescent="0.25">
      <c r="A244" s="12"/>
      <c r="B244" s="12"/>
      <c r="C244" s="283"/>
      <c r="D244" s="284"/>
      <c r="E244" s="285"/>
      <c r="F244" s="286"/>
      <c r="G244" s="29"/>
      <c r="H244" s="12"/>
      <c r="I244" s="12"/>
      <c r="J244" s="248"/>
      <c r="K244" s="249"/>
      <c r="L244" s="248"/>
      <c r="M244" s="10"/>
      <c r="N244" s="10"/>
      <c r="O244" s="12"/>
      <c r="P244" s="222"/>
      <c r="Q244" s="231"/>
      <c r="R244" s="155"/>
      <c r="S244" s="12"/>
      <c r="T244" s="10"/>
      <c r="U244" s="10"/>
      <c r="V244" s="10"/>
      <c r="W244" s="10"/>
      <c r="X244" s="12"/>
      <c r="Y244" s="12"/>
      <c r="Z244" s="12"/>
      <c r="AA244" s="12"/>
      <c r="AB244" s="12"/>
      <c r="AC244" s="10"/>
      <c r="AD244" s="10"/>
      <c r="AE244" s="10"/>
      <c r="AF244" s="10"/>
      <c r="AG244" s="12"/>
      <c r="AH244" s="12"/>
      <c r="AI244" s="12"/>
      <c r="AJ244" s="12"/>
      <c r="AK244" s="12"/>
      <c r="AL244" s="10"/>
      <c r="AM244" s="11"/>
      <c r="AN244" s="10"/>
      <c r="AO244" s="10"/>
      <c r="AP244" s="12"/>
      <c r="AQ244" s="12"/>
      <c r="AR244" s="12"/>
      <c r="AS244" s="12"/>
      <c r="AT244" s="12"/>
      <c r="AU244" s="10"/>
      <c r="AV244" s="11"/>
    </row>
    <row r="245" spans="1:48" x14ac:dyDescent="0.2">
      <c r="A245" s="9"/>
      <c r="B245" s="9"/>
      <c r="C245" s="7"/>
      <c r="D245" s="8"/>
      <c r="E245" s="13"/>
      <c r="F245" s="13"/>
      <c r="G245" s="13"/>
      <c r="H245" s="9"/>
      <c r="I245" s="9"/>
      <c r="J245" s="161"/>
      <c r="K245" s="162"/>
      <c r="L245" s="161"/>
      <c r="M245" s="7"/>
      <c r="N245" s="7"/>
      <c r="O245" s="9"/>
      <c r="P245" s="224"/>
      <c r="Q245" s="223"/>
      <c r="R245" s="153"/>
      <c r="S245" s="9"/>
      <c r="T245" s="7"/>
      <c r="U245" s="7"/>
      <c r="V245" s="7"/>
      <c r="W245" s="7"/>
      <c r="X245" s="9"/>
      <c r="Y245" s="9"/>
      <c r="Z245" s="9"/>
      <c r="AA245" s="9"/>
      <c r="AB245" s="9"/>
      <c r="AC245" s="7"/>
      <c r="AD245" s="7"/>
      <c r="AE245" s="7"/>
      <c r="AF245" s="7"/>
      <c r="AG245" s="9"/>
      <c r="AH245" s="9"/>
      <c r="AI245" s="9"/>
      <c r="AJ245" s="9"/>
      <c r="AK245" s="9"/>
      <c r="AL245" s="7"/>
      <c r="AM245" s="8"/>
      <c r="AN245" s="7"/>
      <c r="AO245" s="7"/>
      <c r="AP245" s="9"/>
      <c r="AQ245" s="9"/>
      <c r="AR245" s="9"/>
      <c r="AS245" s="9"/>
      <c r="AT245" s="9"/>
      <c r="AU245" s="7"/>
      <c r="AV245" s="8"/>
    </row>
    <row r="246" spans="1:48" x14ac:dyDescent="0.2">
      <c r="A246" s="9"/>
      <c r="B246" s="9"/>
      <c r="C246" s="7"/>
      <c r="D246" s="8"/>
      <c r="E246" s="13"/>
      <c r="F246" s="13"/>
      <c r="G246" s="13"/>
      <c r="H246" s="9"/>
      <c r="I246" s="9"/>
      <c r="J246" s="161"/>
      <c r="K246" s="162"/>
      <c r="L246" s="161"/>
      <c r="M246" s="7"/>
      <c r="N246" s="7"/>
      <c r="O246" s="9"/>
      <c r="P246" s="224"/>
      <c r="Q246" s="223"/>
      <c r="R246" s="153"/>
      <c r="S246" s="9"/>
      <c r="T246" s="7"/>
      <c r="U246" s="7"/>
      <c r="V246" s="7"/>
      <c r="W246" s="7"/>
      <c r="X246" s="9"/>
      <c r="Y246" s="9"/>
      <c r="Z246" s="9"/>
      <c r="AA246" s="9"/>
      <c r="AB246" s="9"/>
      <c r="AC246" s="7"/>
      <c r="AD246" s="7"/>
      <c r="AE246" s="7"/>
      <c r="AF246" s="7"/>
      <c r="AG246" s="9"/>
      <c r="AH246" s="9"/>
      <c r="AI246" s="9"/>
      <c r="AJ246" s="9"/>
      <c r="AK246" s="9"/>
      <c r="AL246" s="7"/>
      <c r="AM246" s="8"/>
      <c r="AN246" s="7"/>
      <c r="AO246" s="7"/>
      <c r="AP246" s="9"/>
      <c r="AQ246" s="9"/>
      <c r="AR246" s="9"/>
      <c r="AS246" s="9"/>
      <c r="AT246" s="9"/>
      <c r="AU246" s="7"/>
      <c r="AV246" s="8"/>
    </row>
    <row r="247" spans="1:48" ht="51" customHeight="1" x14ac:dyDescent="0.2">
      <c r="A247" s="9"/>
      <c r="B247" s="9"/>
      <c r="C247" s="7"/>
      <c r="D247" s="8"/>
      <c r="E247" s="13"/>
      <c r="F247" s="13"/>
      <c r="G247" s="13"/>
      <c r="H247" s="9"/>
      <c r="I247" s="9"/>
      <c r="J247" s="161"/>
      <c r="K247" s="162"/>
      <c r="L247" s="161"/>
      <c r="M247" s="7"/>
      <c r="N247" s="7"/>
      <c r="O247" s="9"/>
      <c r="P247" s="224"/>
      <c r="Q247" s="223"/>
      <c r="R247" s="153"/>
      <c r="S247" s="9"/>
      <c r="T247" s="7"/>
      <c r="U247" s="7"/>
      <c r="V247" s="7"/>
      <c r="W247" s="7"/>
      <c r="X247" s="9"/>
      <c r="Y247" s="9"/>
      <c r="Z247" s="9"/>
      <c r="AA247" s="9"/>
      <c r="AB247" s="9"/>
      <c r="AC247" s="7"/>
      <c r="AD247" s="7"/>
      <c r="AE247" s="7"/>
      <c r="AF247" s="7"/>
      <c r="AG247" s="9"/>
      <c r="AH247" s="9"/>
      <c r="AI247" s="9"/>
      <c r="AJ247" s="9"/>
      <c r="AK247" s="9"/>
      <c r="AL247" s="7"/>
      <c r="AM247" s="8"/>
      <c r="AN247" s="7"/>
      <c r="AO247" s="7"/>
      <c r="AP247" s="9"/>
      <c r="AQ247" s="9"/>
      <c r="AR247" s="9"/>
      <c r="AS247" s="9"/>
      <c r="AT247" s="9"/>
      <c r="AU247" s="7"/>
      <c r="AV247" s="8"/>
    </row>
    <row r="248" spans="1:48" ht="43.9" customHeight="1" x14ac:dyDescent="0.2">
      <c r="A248" s="9"/>
      <c r="B248" s="9"/>
      <c r="C248" s="7"/>
      <c r="D248" s="8"/>
      <c r="E248" s="13"/>
      <c r="F248" s="13"/>
      <c r="G248" s="13"/>
      <c r="H248" s="9"/>
      <c r="I248" s="9"/>
      <c r="J248" s="161"/>
      <c r="K248" s="162"/>
      <c r="L248" s="161"/>
      <c r="M248" s="7"/>
      <c r="N248" s="7"/>
      <c r="O248" s="9"/>
      <c r="P248" s="224"/>
      <c r="Q248" s="223"/>
      <c r="R248" s="153"/>
      <c r="S248" s="9"/>
      <c r="T248" s="7"/>
      <c r="U248" s="7"/>
      <c r="V248" s="7"/>
      <c r="W248" s="7"/>
      <c r="X248" s="9"/>
      <c r="Y248" s="9"/>
      <c r="Z248" s="9"/>
      <c r="AA248" s="9"/>
      <c r="AB248" s="9"/>
      <c r="AC248" s="7"/>
      <c r="AD248" s="7"/>
      <c r="AE248" s="7"/>
      <c r="AF248" s="7"/>
      <c r="AG248" s="9"/>
      <c r="AH248" s="9"/>
      <c r="AI248" s="9"/>
      <c r="AJ248" s="9"/>
      <c r="AK248" s="9"/>
      <c r="AL248" s="7"/>
      <c r="AM248" s="8"/>
      <c r="AN248" s="7"/>
      <c r="AO248" s="7"/>
      <c r="AP248" s="9"/>
      <c r="AQ248" s="9"/>
      <c r="AR248" s="9"/>
      <c r="AS248" s="9"/>
      <c r="AT248" s="9"/>
      <c r="AU248" s="7"/>
      <c r="AV248" s="8"/>
    </row>
    <row r="249" spans="1:48" x14ac:dyDescent="0.2">
      <c r="A249" s="9"/>
      <c r="B249" s="9"/>
      <c r="C249" s="7"/>
      <c r="D249" s="8"/>
      <c r="E249" s="13"/>
      <c r="F249" s="13"/>
      <c r="G249" s="13"/>
      <c r="H249" s="9"/>
      <c r="I249" s="9"/>
      <c r="J249" s="161"/>
      <c r="K249" s="162"/>
      <c r="L249" s="161"/>
      <c r="M249" s="7"/>
      <c r="N249" s="7"/>
      <c r="O249" s="9"/>
      <c r="P249" s="224"/>
      <c r="Q249" s="223"/>
      <c r="R249" s="153"/>
      <c r="S249" s="9"/>
      <c r="T249" s="7"/>
      <c r="U249" s="7"/>
      <c r="V249" s="7"/>
      <c r="W249" s="7"/>
      <c r="X249" s="9"/>
      <c r="Y249" s="9"/>
      <c r="Z249" s="9"/>
      <c r="AA249" s="9"/>
      <c r="AB249" s="9"/>
      <c r="AC249" s="7"/>
      <c r="AD249" s="7"/>
      <c r="AE249" s="7"/>
      <c r="AF249" s="7"/>
      <c r="AG249" s="9"/>
      <c r="AH249" s="9"/>
      <c r="AI249" s="9"/>
      <c r="AJ249" s="9"/>
      <c r="AK249" s="9"/>
      <c r="AL249" s="7"/>
      <c r="AM249" s="8"/>
      <c r="AN249" s="7"/>
      <c r="AO249" s="7"/>
      <c r="AP249" s="9"/>
      <c r="AQ249" s="9"/>
      <c r="AR249" s="9"/>
      <c r="AS249" s="9"/>
      <c r="AT249" s="9"/>
      <c r="AU249" s="7"/>
      <c r="AV249" s="8"/>
    </row>
    <row r="250" spans="1:48" x14ac:dyDescent="0.2">
      <c r="A250" s="9"/>
      <c r="B250" s="9"/>
      <c r="C250" s="7"/>
      <c r="D250" s="8"/>
      <c r="E250" s="13"/>
      <c r="F250" s="13"/>
      <c r="G250" s="13"/>
      <c r="H250" s="9"/>
      <c r="I250" s="9"/>
      <c r="J250" s="161"/>
      <c r="K250" s="162"/>
      <c r="L250" s="161"/>
      <c r="M250" s="7"/>
      <c r="N250" s="7"/>
      <c r="O250" s="9"/>
      <c r="P250" s="224"/>
      <c r="Q250" s="223"/>
      <c r="R250" s="153"/>
      <c r="S250" s="9"/>
      <c r="T250" s="7"/>
      <c r="U250" s="7"/>
      <c r="V250" s="7"/>
      <c r="W250" s="7"/>
      <c r="X250" s="9"/>
      <c r="Y250" s="9"/>
      <c r="Z250" s="9"/>
      <c r="AA250" s="9"/>
      <c r="AB250" s="9"/>
      <c r="AC250" s="7"/>
      <c r="AD250" s="7"/>
      <c r="AE250" s="7"/>
      <c r="AF250" s="7"/>
      <c r="AG250" s="9"/>
      <c r="AH250" s="9"/>
      <c r="AI250" s="9"/>
      <c r="AJ250" s="9"/>
      <c r="AK250" s="9"/>
      <c r="AL250" s="7"/>
      <c r="AM250" s="8"/>
      <c r="AN250" s="7"/>
      <c r="AO250" s="7"/>
      <c r="AP250" s="9"/>
      <c r="AQ250" s="9"/>
      <c r="AR250" s="9"/>
      <c r="AS250" s="9"/>
      <c r="AT250" s="9"/>
      <c r="AU250" s="7"/>
      <c r="AV250" s="8"/>
    </row>
    <row r="251" spans="1:48" x14ac:dyDescent="0.2">
      <c r="A251" s="9"/>
      <c r="B251" s="9"/>
      <c r="C251" s="7"/>
      <c r="D251" s="8"/>
      <c r="E251" s="13"/>
      <c r="F251" s="13"/>
      <c r="G251" s="13"/>
      <c r="H251" s="9"/>
      <c r="I251" s="9"/>
      <c r="J251" s="161"/>
      <c r="K251" s="162"/>
      <c r="L251" s="161"/>
      <c r="M251" s="7"/>
      <c r="N251" s="7"/>
      <c r="O251" s="9"/>
      <c r="P251" s="224"/>
      <c r="Q251" s="223"/>
      <c r="R251" s="153"/>
      <c r="S251" s="9"/>
      <c r="T251" s="7"/>
      <c r="U251" s="7"/>
      <c r="V251" s="7"/>
      <c r="W251" s="7"/>
      <c r="X251" s="9"/>
      <c r="Y251" s="9"/>
      <c r="Z251" s="9"/>
      <c r="AA251" s="9"/>
      <c r="AB251" s="9"/>
      <c r="AC251" s="7"/>
      <c r="AD251" s="7"/>
      <c r="AE251" s="7"/>
      <c r="AF251" s="7"/>
      <c r="AG251" s="9"/>
      <c r="AH251" s="9"/>
      <c r="AI251" s="9"/>
      <c r="AJ251" s="9"/>
      <c r="AK251" s="9"/>
      <c r="AL251" s="7"/>
      <c r="AM251" s="8"/>
      <c r="AN251" s="7"/>
      <c r="AO251" s="7"/>
      <c r="AP251" s="9"/>
      <c r="AQ251" s="9"/>
      <c r="AR251" s="9"/>
      <c r="AS251" s="9"/>
      <c r="AT251" s="9"/>
      <c r="AU251" s="7"/>
      <c r="AV251" s="8"/>
    </row>
    <row r="252" spans="1:48" x14ac:dyDescent="0.2">
      <c r="A252" s="9"/>
      <c r="B252" s="9"/>
      <c r="C252" s="7"/>
      <c r="D252" s="8"/>
      <c r="E252" s="13"/>
      <c r="F252" s="13"/>
      <c r="G252" s="13"/>
      <c r="H252" s="9"/>
      <c r="I252" s="9"/>
      <c r="J252" s="161"/>
      <c r="K252" s="162"/>
      <c r="L252" s="161"/>
      <c r="M252" s="7"/>
      <c r="N252" s="7"/>
      <c r="O252" s="9"/>
      <c r="P252" s="224"/>
      <c r="Q252" s="223"/>
      <c r="R252" s="153"/>
      <c r="S252" s="9"/>
      <c r="T252" s="7"/>
      <c r="U252" s="7"/>
      <c r="V252" s="7"/>
      <c r="W252" s="7"/>
      <c r="X252" s="9"/>
      <c r="Y252" s="9"/>
      <c r="Z252" s="9"/>
      <c r="AA252" s="9"/>
      <c r="AB252" s="9"/>
      <c r="AC252" s="7"/>
      <c r="AD252" s="7"/>
      <c r="AE252" s="7"/>
      <c r="AF252" s="7"/>
      <c r="AG252" s="9"/>
      <c r="AH252" s="9"/>
      <c r="AI252" s="9"/>
      <c r="AJ252" s="9"/>
      <c r="AK252" s="9"/>
      <c r="AL252" s="7"/>
      <c r="AM252" s="8"/>
      <c r="AN252" s="7"/>
      <c r="AO252" s="7"/>
      <c r="AP252" s="9"/>
      <c r="AQ252" s="9"/>
      <c r="AR252" s="9"/>
      <c r="AS252" s="9"/>
      <c r="AT252" s="9"/>
      <c r="AU252" s="7"/>
      <c r="AV252" s="8"/>
    </row>
    <row r="253" spans="1:48" x14ac:dyDescent="0.2">
      <c r="A253" s="9"/>
      <c r="B253" s="9"/>
      <c r="C253" s="7"/>
      <c r="D253" s="8"/>
      <c r="E253" s="13"/>
      <c r="F253" s="13"/>
      <c r="G253" s="13"/>
      <c r="H253" s="9"/>
      <c r="I253" s="9"/>
      <c r="J253" s="161"/>
      <c r="K253" s="162"/>
      <c r="L253" s="161"/>
      <c r="M253" s="7"/>
      <c r="N253" s="7"/>
      <c r="O253" s="9"/>
      <c r="P253" s="224"/>
      <c r="Q253" s="223"/>
      <c r="R253" s="153"/>
      <c r="S253" s="9"/>
      <c r="T253" s="7"/>
      <c r="U253" s="7"/>
      <c r="V253" s="7"/>
      <c r="W253" s="7"/>
      <c r="X253" s="9"/>
      <c r="Y253" s="9"/>
      <c r="Z253" s="9"/>
      <c r="AA253" s="9"/>
      <c r="AB253" s="9"/>
      <c r="AC253" s="7"/>
      <c r="AD253" s="7"/>
      <c r="AE253" s="7"/>
      <c r="AF253" s="7"/>
      <c r="AG253" s="9"/>
      <c r="AH253" s="9"/>
      <c r="AI253" s="9"/>
      <c r="AJ253" s="9"/>
      <c r="AK253" s="9"/>
      <c r="AL253" s="7"/>
      <c r="AM253" s="8"/>
      <c r="AN253" s="7"/>
      <c r="AO253" s="7"/>
      <c r="AP253" s="9"/>
      <c r="AQ253" s="9"/>
      <c r="AR253" s="9"/>
      <c r="AS253" s="9"/>
      <c r="AT253" s="9"/>
      <c r="AU253" s="7"/>
      <c r="AV253" s="8"/>
    </row>
    <row r="254" spans="1:48" x14ac:dyDescent="0.2">
      <c r="A254" s="9"/>
      <c r="B254" s="9"/>
      <c r="C254" s="7"/>
      <c r="D254" s="8"/>
      <c r="E254" s="13"/>
      <c r="F254" s="13"/>
      <c r="G254" s="13"/>
      <c r="H254" s="9"/>
      <c r="I254" s="9"/>
      <c r="J254" s="161"/>
      <c r="K254" s="162"/>
      <c r="L254" s="161"/>
      <c r="M254" s="7"/>
      <c r="N254" s="7"/>
      <c r="O254" s="9"/>
      <c r="P254" s="224"/>
      <c r="Q254" s="223"/>
      <c r="R254" s="153"/>
      <c r="S254" s="9"/>
      <c r="T254" s="7"/>
      <c r="U254" s="7"/>
      <c r="V254" s="7"/>
      <c r="W254" s="7"/>
      <c r="X254" s="9"/>
      <c r="Y254" s="9"/>
      <c r="Z254" s="9"/>
      <c r="AA254" s="9"/>
      <c r="AB254" s="9"/>
      <c r="AC254" s="7"/>
      <c r="AD254" s="7"/>
      <c r="AE254" s="7"/>
      <c r="AF254" s="7"/>
      <c r="AG254" s="9"/>
      <c r="AH254" s="9"/>
      <c r="AI254" s="9"/>
      <c r="AJ254" s="9"/>
      <c r="AK254" s="9"/>
      <c r="AL254" s="7"/>
      <c r="AM254" s="8"/>
      <c r="AN254" s="7"/>
      <c r="AO254" s="7"/>
      <c r="AP254" s="9"/>
      <c r="AQ254" s="9"/>
      <c r="AR254" s="9"/>
      <c r="AS254" s="9"/>
      <c r="AT254" s="9"/>
      <c r="AU254" s="7"/>
      <c r="AV254" s="8"/>
    </row>
    <row r="255" spans="1:48" x14ac:dyDescent="0.2">
      <c r="A255" s="9"/>
      <c r="B255" s="9"/>
      <c r="C255" s="7"/>
      <c r="D255" s="8"/>
      <c r="E255" s="13"/>
      <c r="F255" s="13"/>
      <c r="G255" s="13"/>
      <c r="H255" s="9"/>
      <c r="I255" s="9"/>
      <c r="J255" s="161"/>
      <c r="K255" s="162"/>
      <c r="L255" s="161"/>
      <c r="M255" s="7"/>
      <c r="N255" s="7"/>
      <c r="O255" s="9"/>
      <c r="P255" s="224"/>
      <c r="Q255" s="223"/>
      <c r="R255" s="153"/>
      <c r="S255" s="9"/>
      <c r="T255" s="7"/>
      <c r="U255" s="7"/>
      <c r="V255" s="7"/>
      <c r="W255" s="7"/>
      <c r="X255" s="9"/>
      <c r="Y255" s="9"/>
      <c r="Z255" s="9"/>
      <c r="AA255" s="9"/>
      <c r="AB255" s="9"/>
      <c r="AC255" s="7"/>
      <c r="AD255" s="7"/>
      <c r="AE255" s="7"/>
      <c r="AF255" s="7"/>
      <c r="AG255" s="9"/>
      <c r="AH255" s="9"/>
      <c r="AI255" s="9"/>
      <c r="AJ255" s="9"/>
      <c r="AK255" s="9"/>
      <c r="AL255" s="7"/>
      <c r="AM255" s="8"/>
      <c r="AN255" s="7"/>
      <c r="AO255" s="7"/>
      <c r="AP255" s="9"/>
      <c r="AQ255" s="9"/>
      <c r="AR255" s="9"/>
      <c r="AS255" s="9"/>
      <c r="AT255" s="9"/>
      <c r="AU255" s="7"/>
      <c r="AV255" s="8"/>
    </row>
    <row r="256" spans="1:48" x14ac:dyDescent="0.2">
      <c r="A256" s="9"/>
      <c r="B256" s="9"/>
      <c r="C256" s="7"/>
      <c r="D256" s="8"/>
      <c r="E256" s="13"/>
      <c r="F256" s="13"/>
      <c r="G256" s="13"/>
      <c r="H256" s="9"/>
      <c r="I256" s="9"/>
      <c r="J256" s="161"/>
      <c r="K256" s="162"/>
      <c r="L256" s="161"/>
      <c r="M256" s="7"/>
      <c r="N256" s="7"/>
      <c r="O256" s="9"/>
      <c r="P256" s="224"/>
      <c r="Q256" s="223"/>
      <c r="R256" s="153"/>
      <c r="S256" s="9"/>
      <c r="T256" s="7"/>
      <c r="U256" s="7"/>
      <c r="V256" s="7"/>
      <c r="W256" s="7"/>
      <c r="X256" s="9"/>
      <c r="Y256" s="9"/>
      <c r="Z256" s="9"/>
      <c r="AA256" s="9"/>
      <c r="AB256" s="9"/>
      <c r="AC256" s="7"/>
      <c r="AD256" s="7"/>
      <c r="AE256" s="7"/>
      <c r="AF256" s="7"/>
      <c r="AG256" s="9"/>
      <c r="AH256" s="9"/>
      <c r="AI256" s="9"/>
      <c r="AJ256" s="9"/>
      <c r="AK256" s="9"/>
      <c r="AL256" s="7"/>
      <c r="AM256" s="8"/>
      <c r="AN256" s="7"/>
      <c r="AO256" s="7"/>
      <c r="AP256" s="9"/>
      <c r="AQ256" s="9"/>
      <c r="AR256" s="9"/>
      <c r="AS256" s="9"/>
      <c r="AT256" s="9"/>
      <c r="AU256" s="7"/>
      <c r="AV256" s="8"/>
    </row>
    <row r="257" spans="1:48" x14ac:dyDescent="0.2">
      <c r="A257" s="9"/>
      <c r="B257" s="9"/>
      <c r="C257" s="7"/>
      <c r="D257" s="8"/>
      <c r="E257" s="13"/>
      <c r="F257" s="13"/>
      <c r="G257" s="13"/>
      <c r="H257" s="9"/>
      <c r="I257" s="9"/>
      <c r="J257" s="161"/>
      <c r="K257" s="162"/>
      <c r="L257" s="161"/>
      <c r="M257" s="7"/>
      <c r="N257" s="7"/>
      <c r="O257" s="9"/>
      <c r="P257" s="224"/>
      <c r="Q257" s="223"/>
      <c r="R257" s="153"/>
      <c r="S257" s="9"/>
      <c r="T257" s="7"/>
      <c r="U257" s="7"/>
      <c r="V257" s="7"/>
      <c r="W257" s="7"/>
      <c r="X257" s="9"/>
      <c r="Y257" s="9"/>
      <c r="Z257" s="9"/>
      <c r="AA257" s="9"/>
      <c r="AB257" s="9"/>
      <c r="AC257" s="7"/>
      <c r="AD257" s="7"/>
      <c r="AE257" s="7"/>
      <c r="AF257" s="7"/>
      <c r="AG257" s="9"/>
      <c r="AH257" s="9"/>
      <c r="AI257" s="9"/>
      <c r="AJ257" s="9"/>
      <c r="AK257" s="9"/>
      <c r="AL257" s="7"/>
      <c r="AM257" s="8"/>
      <c r="AN257" s="7"/>
      <c r="AO257" s="7"/>
      <c r="AP257" s="9"/>
      <c r="AQ257" s="9"/>
      <c r="AR257" s="9"/>
      <c r="AS257" s="9"/>
      <c r="AT257" s="9"/>
      <c r="AU257" s="7"/>
      <c r="AV257" s="8"/>
    </row>
    <row r="258" spans="1:48" x14ac:dyDescent="0.2">
      <c r="A258" s="9"/>
      <c r="B258" s="9"/>
      <c r="C258" s="7"/>
      <c r="D258" s="8"/>
      <c r="E258" s="13"/>
      <c r="F258" s="13"/>
      <c r="G258" s="13"/>
      <c r="H258" s="9"/>
      <c r="I258" s="9"/>
      <c r="J258" s="161"/>
      <c r="K258" s="162"/>
      <c r="L258" s="161"/>
      <c r="M258" s="7"/>
      <c r="N258" s="7"/>
      <c r="O258" s="9"/>
      <c r="P258" s="224"/>
      <c r="Q258" s="223"/>
      <c r="R258" s="153"/>
      <c r="S258" s="9"/>
      <c r="T258" s="7"/>
      <c r="U258" s="7"/>
      <c r="V258" s="7"/>
      <c r="W258" s="7"/>
      <c r="X258" s="9"/>
      <c r="Y258" s="9"/>
      <c r="Z258" s="9"/>
      <c r="AA258" s="9"/>
      <c r="AB258" s="9"/>
      <c r="AC258" s="7"/>
      <c r="AD258" s="7"/>
      <c r="AE258" s="7"/>
      <c r="AF258" s="7"/>
      <c r="AG258" s="9"/>
      <c r="AH258" s="9"/>
      <c r="AI258" s="9"/>
      <c r="AJ258" s="9"/>
      <c r="AK258" s="9"/>
      <c r="AL258" s="7"/>
      <c r="AM258" s="8"/>
      <c r="AN258" s="7"/>
      <c r="AO258" s="7"/>
      <c r="AP258" s="9"/>
      <c r="AQ258" s="9"/>
      <c r="AR258" s="9"/>
      <c r="AS258" s="9"/>
      <c r="AT258" s="9"/>
      <c r="AU258" s="7"/>
      <c r="AV258" s="8"/>
    </row>
    <row r="259" spans="1:48" x14ac:dyDescent="0.2">
      <c r="A259" s="9"/>
      <c r="B259" s="9"/>
      <c r="C259" s="7"/>
      <c r="D259" s="8"/>
      <c r="E259" s="13"/>
      <c r="F259" s="13"/>
      <c r="G259" s="13"/>
      <c r="H259" s="9"/>
      <c r="I259" s="9"/>
      <c r="J259" s="161"/>
      <c r="K259" s="162"/>
      <c r="L259" s="161"/>
      <c r="M259" s="7"/>
      <c r="N259" s="7"/>
      <c r="O259" s="9"/>
      <c r="P259" s="224"/>
      <c r="Q259" s="223"/>
      <c r="R259" s="153"/>
      <c r="S259" s="9"/>
      <c r="T259" s="7"/>
      <c r="U259" s="7"/>
      <c r="V259" s="7"/>
      <c r="W259" s="7"/>
      <c r="X259" s="9"/>
      <c r="Y259" s="9"/>
      <c r="Z259" s="9"/>
      <c r="AA259" s="9"/>
      <c r="AB259" s="9"/>
      <c r="AC259" s="7"/>
      <c r="AD259" s="7"/>
      <c r="AE259" s="7"/>
      <c r="AF259" s="7"/>
      <c r="AG259" s="9"/>
      <c r="AH259" s="9"/>
      <c r="AI259" s="9"/>
      <c r="AJ259" s="9"/>
      <c r="AK259" s="9"/>
      <c r="AL259" s="7"/>
      <c r="AM259" s="8"/>
      <c r="AN259" s="7"/>
      <c r="AO259" s="7"/>
      <c r="AP259" s="9"/>
      <c r="AQ259" s="9"/>
      <c r="AR259" s="9"/>
      <c r="AS259" s="9"/>
      <c r="AT259" s="9"/>
      <c r="AU259" s="7"/>
      <c r="AV259" s="8"/>
    </row>
    <row r="260" spans="1:48" x14ac:dyDescent="0.2">
      <c r="A260" s="9"/>
      <c r="B260" s="9"/>
      <c r="C260" s="7"/>
      <c r="D260" s="8"/>
      <c r="E260" s="13"/>
      <c r="F260" s="13"/>
      <c r="G260" s="13"/>
      <c r="H260" s="9"/>
      <c r="I260" s="9"/>
      <c r="J260" s="161"/>
      <c r="K260" s="162"/>
      <c r="L260" s="161"/>
      <c r="M260" s="7"/>
      <c r="N260" s="7"/>
      <c r="O260" s="9"/>
      <c r="P260" s="224"/>
      <c r="Q260" s="223"/>
      <c r="R260" s="153"/>
      <c r="S260" s="9"/>
      <c r="T260" s="7"/>
      <c r="U260" s="7"/>
      <c r="V260" s="7"/>
      <c r="W260" s="7"/>
      <c r="X260" s="9"/>
      <c r="Y260" s="9"/>
      <c r="Z260" s="9"/>
      <c r="AA260" s="9"/>
      <c r="AB260" s="9"/>
      <c r="AC260" s="7"/>
      <c r="AD260" s="7"/>
      <c r="AE260" s="7"/>
      <c r="AF260" s="7"/>
      <c r="AG260" s="9"/>
      <c r="AH260" s="9"/>
      <c r="AI260" s="9"/>
      <c r="AJ260" s="9"/>
      <c r="AK260" s="9"/>
      <c r="AL260" s="7"/>
      <c r="AM260" s="8"/>
      <c r="AN260" s="7"/>
      <c r="AO260" s="7"/>
      <c r="AP260" s="9"/>
      <c r="AQ260" s="9"/>
      <c r="AR260" s="9"/>
      <c r="AS260" s="9"/>
      <c r="AT260" s="9"/>
      <c r="AU260" s="7"/>
      <c r="AV260" s="8"/>
    </row>
    <row r="261" spans="1:48" x14ac:dyDescent="0.2">
      <c r="A261" s="9"/>
      <c r="B261" s="9"/>
      <c r="C261" s="7"/>
      <c r="D261" s="8"/>
      <c r="E261" s="13"/>
      <c r="F261" s="13"/>
      <c r="G261" s="13"/>
      <c r="H261" s="9"/>
      <c r="I261" s="9"/>
      <c r="J261" s="161"/>
      <c r="K261" s="162"/>
      <c r="L261" s="161"/>
      <c r="M261" s="7"/>
      <c r="N261" s="7"/>
      <c r="O261" s="9"/>
      <c r="P261" s="224"/>
      <c r="Q261" s="223"/>
      <c r="R261" s="153"/>
      <c r="S261" s="9"/>
      <c r="T261" s="7"/>
      <c r="U261" s="7"/>
      <c r="V261" s="7"/>
      <c r="W261" s="7"/>
      <c r="X261" s="9"/>
      <c r="Y261" s="9"/>
      <c r="Z261" s="9"/>
      <c r="AA261" s="9"/>
      <c r="AB261" s="9"/>
      <c r="AC261" s="7"/>
      <c r="AD261" s="7"/>
      <c r="AE261" s="7"/>
      <c r="AF261" s="7"/>
      <c r="AG261" s="9"/>
      <c r="AH261" s="9"/>
      <c r="AI261" s="9"/>
      <c r="AJ261" s="9"/>
      <c r="AK261" s="9"/>
      <c r="AL261" s="7"/>
      <c r="AM261" s="8"/>
      <c r="AN261" s="7"/>
      <c r="AO261" s="7"/>
      <c r="AP261" s="9"/>
      <c r="AQ261" s="9"/>
      <c r="AR261" s="9"/>
      <c r="AS261" s="9"/>
      <c r="AT261" s="9"/>
      <c r="AU261" s="7"/>
      <c r="AV261" s="8"/>
    </row>
    <row r="262" spans="1:48" x14ac:dyDescent="0.2">
      <c r="A262" s="9"/>
      <c r="B262" s="9"/>
      <c r="C262" s="7"/>
      <c r="D262" s="8"/>
      <c r="E262" s="13"/>
      <c r="F262" s="13"/>
      <c r="G262" s="13"/>
      <c r="H262" s="9"/>
      <c r="I262" s="9"/>
      <c r="J262" s="161"/>
      <c r="K262" s="162"/>
      <c r="L262" s="161"/>
      <c r="M262" s="7"/>
      <c r="N262" s="7"/>
      <c r="O262" s="9"/>
      <c r="P262" s="224"/>
      <c r="Q262" s="223"/>
      <c r="R262" s="153"/>
      <c r="S262" s="9"/>
      <c r="T262" s="7"/>
      <c r="U262" s="7"/>
      <c r="V262" s="7"/>
      <c r="W262" s="7"/>
      <c r="X262" s="9"/>
      <c r="Y262" s="9"/>
      <c r="Z262" s="9"/>
      <c r="AA262" s="9"/>
      <c r="AB262" s="9"/>
      <c r="AC262" s="7"/>
      <c r="AD262" s="7"/>
      <c r="AE262" s="7"/>
      <c r="AF262" s="7"/>
      <c r="AG262" s="9"/>
      <c r="AH262" s="9"/>
      <c r="AI262" s="9"/>
      <c r="AJ262" s="9"/>
      <c r="AK262" s="9"/>
      <c r="AL262" s="7"/>
      <c r="AM262" s="8"/>
      <c r="AN262" s="7"/>
      <c r="AO262" s="7"/>
      <c r="AP262" s="9"/>
      <c r="AQ262" s="9"/>
      <c r="AR262" s="9"/>
      <c r="AS262" s="9"/>
      <c r="AT262" s="9"/>
      <c r="AU262" s="7"/>
      <c r="AV262" s="8"/>
    </row>
    <row r="263" spans="1:48" x14ac:dyDescent="0.2">
      <c r="A263" s="9"/>
      <c r="B263" s="9"/>
      <c r="C263" s="7"/>
      <c r="D263" s="8"/>
      <c r="E263" s="13"/>
      <c r="F263" s="13"/>
      <c r="G263" s="13"/>
      <c r="H263" s="9"/>
      <c r="I263" s="9"/>
      <c r="J263" s="161"/>
      <c r="K263" s="162"/>
      <c r="L263" s="161"/>
      <c r="M263" s="7"/>
      <c r="N263" s="7"/>
      <c r="O263" s="9"/>
      <c r="P263" s="224"/>
      <c r="Q263" s="223"/>
      <c r="R263" s="153"/>
      <c r="S263" s="9"/>
      <c r="T263" s="7"/>
      <c r="U263" s="7"/>
      <c r="V263" s="7"/>
      <c r="W263" s="7"/>
      <c r="X263" s="9"/>
      <c r="Y263" s="9"/>
      <c r="Z263" s="9"/>
      <c r="AA263" s="9"/>
      <c r="AB263" s="9"/>
      <c r="AC263" s="7"/>
      <c r="AD263" s="7"/>
      <c r="AE263" s="7"/>
      <c r="AF263" s="7"/>
      <c r="AG263" s="9"/>
      <c r="AH263" s="9"/>
      <c r="AI263" s="9"/>
      <c r="AJ263" s="9"/>
      <c r="AK263" s="9"/>
      <c r="AL263" s="7"/>
      <c r="AM263" s="8"/>
      <c r="AN263" s="7"/>
      <c r="AO263" s="7"/>
      <c r="AP263" s="9"/>
      <c r="AQ263" s="9"/>
      <c r="AR263" s="9"/>
      <c r="AS263" s="9"/>
      <c r="AT263" s="9"/>
      <c r="AU263" s="7"/>
      <c r="AV263" s="8"/>
    </row>
    <row r="264" spans="1:48" x14ac:dyDescent="0.2">
      <c r="A264" s="9"/>
      <c r="B264" s="9"/>
      <c r="C264" s="7"/>
      <c r="D264" s="8"/>
      <c r="E264" s="13"/>
      <c r="F264" s="13"/>
      <c r="G264" s="13"/>
      <c r="H264" s="9"/>
      <c r="I264" s="9"/>
      <c r="J264" s="161"/>
      <c r="K264" s="162"/>
      <c r="L264" s="161"/>
      <c r="M264" s="7"/>
      <c r="N264" s="7"/>
      <c r="O264" s="9"/>
      <c r="P264" s="224"/>
      <c r="Q264" s="223"/>
      <c r="R264" s="153"/>
      <c r="S264" s="9"/>
      <c r="T264" s="7"/>
      <c r="U264" s="7"/>
      <c r="V264" s="7"/>
      <c r="W264" s="7"/>
      <c r="X264" s="9"/>
      <c r="Y264" s="9"/>
      <c r="Z264" s="9"/>
      <c r="AA264" s="9"/>
      <c r="AB264" s="9"/>
      <c r="AC264" s="7"/>
      <c r="AD264" s="7"/>
      <c r="AE264" s="7"/>
      <c r="AF264" s="7"/>
      <c r="AG264" s="9"/>
      <c r="AH264" s="9"/>
      <c r="AI264" s="9"/>
      <c r="AJ264" s="9"/>
      <c r="AK264" s="9"/>
      <c r="AL264" s="7"/>
      <c r="AM264" s="8"/>
      <c r="AN264" s="7"/>
      <c r="AO264" s="7"/>
      <c r="AP264" s="9"/>
      <c r="AQ264" s="9"/>
      <c r="AR264" s="9"/>
      <c r="AS264" s="9"/>
      <c r="AT264" s="9"/>
      <c r="AU264" s="7"/>
      <c r="AV264" s="8"/>
    </row>
    <row r="265" spans="1:48" x14ac:dyDescent="0.2">
      <c r="A265" s="9"/>
      <c r="B265" s="9"/>
      <c r="C265" s="7"/>
      <c r="D265" s="8"/>
      <c r="E265" s="13"/>
      <c r="F265" s="13"/>
      <c r="G265" s="13"/>
      <c r="H265" s="9"/>
      <c r="I265" s="9"/>
      <c r="J265" s="161"/>
      <c r="K265" s="162"/>
      <c r="L265" s="161"/>
      <c r="M265" s="7"/>
      <c r="N265" s="7"/>
      <c r="O265" s="9"/>
      <c r="P265" s="224"/>
      <c r="Q265" s="223"/>
      <c r="R265" s="153"/>
      <c r="S265" s="9"/>
      <c r="T265" s="7"/>
      <c r="U265" s="7"/>
      <c r="V265" s="7"/>
      <c r="W265" s="7"/>
      <c r="X265" s="9"/>
      <c r="Y265" s="9"/>
      <c r="Z265" s="9"/>
      <c r="AA265" s="9"/>
      <c r="AB265" s="9"/>
      <c r="AC265" s="7"/>
      <c r="AD265" s="7"/>
      <c r="AE265" s="7"/>
      <c r="AF265" s="7"/>
      <c r="AG265" s="9"/>
      <c r="AH265" s="9"/>
      <c r="AI265" s="9"/>
      <c r="AJ265" s="9"/>
      <c r="AK265" s="9"/>
      <c r="AL265" s="7"/>
      <c r="AM265" s="8"/>
      <c r="AN265" s="7"/>
      <c r="AO265" s="7"/>
      <c r="AP265" s="9"/>
      <c r="AQ265" s="9"/>
      <c r="AR265" s="9"/>
      <c r="AS265" s="9"/>
      <c r="AT265" s="9"/>
      <c r="AU265" s="7"/>
      <c r="AV265" s="8"/>
    </row>
    <row r="266" spans="1:48" x14ac:dyDescent="0.2">
      <c r="A266" s="9"/>
      <c r="B266" s="9"/>
      <c r="C266" s="7"/>
      <c r="D266" s="8"/>
      <c r="E266" s="13"/>
      <c r="F266" s="13"/>
      <c r="G266" s="13"/>
      <c r="H266" s="9"/>
      <c r="I266" s="9"/>
      <c r="J266" s="161"/>
      <c r="K266" s="162"/>
      <c r="L266" s="161"/>
      <c r="M266" s="7"/>
      <c r="N266" s="7"/>
      <c r="O266" s="9"/>
      <c r="P266" s="224"/>
      <c r="Q266" s="223"/>
      <c r="R266" s="153"/>
      <c r="S266" s="9"/>
      <c r="T266" s="7"/>
      <c r="U266" s="7"/>
      <c r="V266" s="7"/>
      <c r="W266" s="7"/>
      <c r="X266" s="9"/>
      <c r="Y266" s="9"/>
      <c r="Z266" s="9"/>
      <c r="AA266" s="9"/>
      <c r="AB266" s="9"/>
      <c r="AC266" s="7"/>
      <c r="AD266" s="7"/>
      <c r="AE266" s="7"/>
      <c r="AF266" s="7"/>
      <c r="AG266" s="9"/>
      <c r="AH266" s="9"/>
      <c r="AI266" s="9"/>
      <c r="AJ266" s="9"/>
      <c r="AK266" s="9"/>
      <c r="AL266" s="7"/>
      <c r="AM266" s="8"/>
      <c r="AN266" s="7"/>
      <c r="AO266" s="7"/>
      <c r="AP266" s="9"/>
      <c r="AQ266" s="9"/>
      <c r="AR266" s="9"/>
      <c r="AS266" s="9"/>
      <c r="AT266" s="9"/>
      <c r="AU266" s="7"/>
      <c r="AV266" s="8"/>
    </row>
    <row r="267" spans="1:48" x14ac:dyDescent="0.2">
      <c r="A267" s="9"/>
      <c r="B267" s="9"/>
      <c r="C267" s="7"/>
      <c r="D267" s="8"/>
      <c r="E267" s="13"/>
      <c r="F267" s="13"/>
      <c r="G267" s="13"/>
      <c r="H267" s="9"/>
      <c r="I267" s="9"/>
      <c r="J267" s="161"/>
      <c r="K267" s="162"/>
      <c r="L267" s="161"/>
      <c r="M267" s="7"/>
      <c r="N267" s="7"/>
      <c r="O267" s="9"/>
      <c r="P267" s="224"/>
      <c r="Q267" s="223"/>
      <c r="R267" s="153"/>
      <c r="S267" s="9"/>
      <c r="T267" s="7"/>
      <c r="U267" s="7"/>
      <c r="V267" s="7"/>
      <c r="W267" s="7"/>
      <c r="X267" s="9"/>
      <c r="Y267" s="9"/>
      <c r="Z267" s="9"/>
      <c r="AA267" s="9"/>
      <c r="AB267" s="9"/>
      <c r="AC267" s="7"/>
      <c r="AD267" s="7"/>
      <c r="AE267" s="7"/>
      <c r="AF267" s="7"/>
      <c r="AG267" s="9"/>
      <c r="AH267" s="9"/>
      <c r="AI267" s="9"/>
      <c r="AJ267" s="9"/>
      <c r="AK267" s="9"/>
      <c r="AL267" s="7"/>
      <c r="AM267" s="8"/>
      <c r="AN267" s="7"/>
      <c r="AO267" s="7"/>
      <c r="AP267" s="9"/>
      <c r="AQ267" s="9"/>
      <c r="AR267" s="9"/>
      <c r="AS267" s="9"/>
      <c r="AT267" s="9"/>
      <c r="AU267" s="7"/>
      <c r="AV267" s="8"/>
    </row>
    <row r="268" spans="1:48" x14ac:dyDescent="0.2">
      <c r="A268" s="9"/>
      <c r="B268" s="9"/>
      <c r="C268" s="7"/>
      <c r="D268" s="8"/>
      <c r="E268" s="13"/>
      <c r="F268" s="13"/>
      <c r="G268" s="13"/>
      <c r="H268" s="9"/>
      <c r="I268" s="9"/>
      <c r="J268" s="161"/>
      <c r="K268" s="162"/>
      <c r="L268" s="161"/>
      <c r="M268" s="7"/>
      <c r="N268" s="7"/>
      <c r="O268" s="9"/>
      <c r="P268" s="224"/>
      <c r="Q268" s="223"/>
      <c r="R268" s="153"/>
      <c r="S268" s="9"/>
      <c r="T268" s="7"/>
      <c r="U268" s="7"/>
      <c r="V268" s="7"/>
      <c r="W268" s="7"/>
      <c r="X268" s="9"/>
      <c r="Y268" s="9"/>
      <c r="Z268" s="9"/>
      <c r="AA268" s="9"/>
      <c r="AB268" s="9"/>
      <c r="AC268" s="7"/>
      <c r="AD268" s="7"/>
      <c r="AE268" s="7"/>
      <c r="AF268" s="7"/>
      <c r="AG268" s="9"/>
      <c r="AH268" s="9"/>
      <c r="AI268" s="9"/>
      <c r="AJ268" s="9"/>
      <c r="AK268" s="9"/>
      <c r="AL268" s="7"/>
      <c r="AM268" s="8"/>
      <c r="AN268" s="7"/>
      <c r="AO268" s="7"/>
      <c r="AP268" s="9"/>
      <c r="AQ268" s="9"/>
      <c r="AR268" s="9"/>
      <c r="AS268" s="9"/>
      <c r="AT268" s="9"/>
      <c r="AU268" s="7"/>
      <c r="AV268" s="8"/>
    </row>
    <row r="269" spans="1:48" x14ac:dyDescent="0.2">
      <c r="A269" s="9"/>
      <c r="B269" s="9"/>
      <c r="C269" s="7"/>
      <c r="D269" s="8"/>
      <c r="E269" s="13"/>
      <c r="F269" s="13"/>
      <c r="G269" s="13"/>
      <c r="H269" s="9"/>
      <c r="I269" s="9"/>
      <c r="J269" s="161"/>
      <c r="K269" s="162"/>
      <c r="L269" s="161"/>
      <c r="M269" s="7"/>
      <c r="N269" s="7"/>
      <c r="O269" s="9"/>
      <c r="P269" s="224"/>
      <c r="Q269" s="223"/>
      <c r="R269" s="153"/>
      <c r="S269" s="9"/>
      <c r="T269" s="7"/>
      <c r="U269" s="7"/>
      <c r="V269" s="7"/>
      <c r="W269" s="7"/>
      <c r="X269" s="9"/>
      <c r="Y269" s="9"/>
      <c r="Z269" s="9"/>
      <c r="AA269" s="9"/>
      <c r="AB269" s="9"/>
      <c r="AC269" s="7"/>
      <c r="AD269" s="7"/>
      <c r="AE269" s="7"/>
      <c r="AF269" s="7"/>
      <c r="AG269" s="9"/>
      <c r="AH269" s="9"/>
      <c r="AI269" s="9"/>
      <c r="AJ269" s="9"/>
      <c r="AK269" s="9"/>
      <c r="AL269" s="7"/>
      <c r="AM269" s="8"/>
      <c r="AN269" s="7"/>
      <c r="AO269" s="7"/>
      <c r="AP269" s="9"/>
      <c r="AQ269" s="9"/>
      <c r="AR269" s="9"/>
      <c r="AS269" s="9"/>
      <c r="AT269" s="9"/>
      <c r="AU269" s="7"/>
      <c r="AV269" s="8"/>
    </row>
    <row r="270" spans="1:48" x14ac:dyDescent="0.2">
      <c r="A270" s="9"/>
      <c r="B270" s="9"/>
      <c r="C270" s="7"/>
      <c r="D270" s="8"/>
      <c r="E270" s="13"/>
      <c r="F270" s="13"/>
      <c r="G270" s="13"/>
      <c r="H270" s="9"/>
      <c r="I270" s="9"/>
      <c r="J270" s="161"/>
      <c r="K270" s="162"/>
      <c r="L270" s="161"/>
      <c r="M270" s="7"/>
      <c r="N270" s="7"/>
      <c r="O270" s="9"/>
      <c r="P270" s="224"/>
      <c r="Q270" s="223"/>
      <c r="R270" s="153"/>
      <c r="S270" s="9"/>
      <c r="T270" s="7"/>
      <c r="U270" s="7"/>
      <c r="V270" s="7"/>
      <c r="W270" s="7"/>
      <c r="X270" s="9"/>
      <c r="Y270" s="9"/>
      <c r="Z270" s="9"/>
      <c r="AA270" s="9"/>
      <c r="AB270" s="9"/>
      <c r="AC270" s="7"/>
      <c r="AD270" s="7"/>
      <c r="AE270" s="7"/>
      <c r="AF270" s="7"/>
      <c r="AG270" s="9"/>
      <c r="AH270" s="9"/>
      <c r="AI270" s="9"/>
      <c r="AJ270" s="9"/>
      <c r="AK270" s="9"/>
      <c r="AL270" s="7"/>
      <c r="AM270" s="8"/>
      <c r="AN270" s="7"/>
      <c r="AO270" s="7"/>
      <c r="AP270" s="9"/>
      <c r="AQ270" s="9"/>
      <c r="AR270" s="9"/>
      <c r="AS270" s="9"/>
      <c r="AT270" s="9"/>
      <c r="AU270" s="7"/>
      <c r="AV270" s="8"/>
    </row>
    <row r="271" spans="1:48" x14ac:dyDescent="0.2">
      <c r="A271" s="9"/>
      <c r="B271" s="9"/>
      <c r="C271" s="7"/>
      <c r="D271" s="8"/>
      <c r="E271" s="13"/>
      <c r="F271" s="13"/>
      <c r="G271" s="13"/>
      <c r="H271" s="9"/>
      <c r="I271" s="9"/>
      <c r="J271" s="161"/>
      <c r="K271" s="162"/>
      <c r="L271" s="161"/>
      <c r="M271" s="7"/>
      <c r="N271" s="7"/>
      <c r="O271" s="9"/>
      <c r="P271" s="224"/>
      <c r="Q271" s="223"/>
      <c r="R271" s="153"/>
      <c r="S271" s="9"/>
      <c r="T271" s="7"/>
      <c r="U271" s="7"/>
      <c r="V271" s="7"/>
      <c r="W271" s="7"/>
      <c r="X271" s="9"/>
      <c r="Y271" s="9"/>
      <c r="Z271" s="9"/>
      <c r="AA271" s="9"/>
      <c r="AB271" s="9"/>
      <c r="AC271" s="7"/>
      <c r="AD271" s="7"/>
      <c r="AE271" s="7"/>
      <c r="AF271" s="7"/>
      <c r="AG271" s="9"/>
      <c r="AH271" s="9"/>
      <c r="AI271" s="9"/>
      <c r="AJ271" s="9"/>
      <c r="AK271" s="9"/>
      <c r="AL271" s="7"/>
      <c r="AM271" s="8"/>
      <c r="AN271" s="7"/>
      <c r="AO271" s="7"/>
      <c r="AP271" s="9"/>
      <c r="AQ271" s="9"/>
      <c r="AR271" s="9"/>
      <c r="AS271" s="9"/>
      <c r="AT271" s="9"/>
      <c r="AU271" s="7"/>
      <c r="AV271" s="8"/>
    </row>
    <row r="272" spans="1:48" x14ac:dyDescent="0.2">
      <c r="A272" s="9"/>
      <c r="B272" s="9"/>
      <c r="C272" s="7"/>
      <c r="D272" s="8"/>
      <c r="E272" s="13"/>
      <c r="F272" s="13"/>
      <c r="G272" s="13"/>
      <c r="H272" s="9"/>
      <c r="I272" s="9"/>
      <c r="J272" s="161"/>
      <c r="K272" s="162"/>
      <c r="L272" s="161"/>
      <c r="M272" s="7"/>
      <c r="N272" s="7"/>
      <c r="O272" s="9"/>
      <c r="P272" s="224"/>
      <c r="Q272" s="223"/>
      <c r="R272" s="153"/>
      <c r="S272" s="9"/>
      <c r="T272" s="7"/>
      <c r="U272" s="7"/>
      <c r="V272" s="7"/>
      <c r="W272" s="7"/>
      <c r="X272" s="9"/>
      <c r="Y272" s="9"/>
      <c r="Z272" s="9"/>
      <c r="AA272" s="9"/>
      <c r="AB272" s="9"/>
      <c r="AC272" s="7"/>
      <c r="AD272" s="7"/>
      <c r="AE272" s="7"/>
      <c r="AF272" s="7"/>
      <c r="AG272" s="9"/>
      <c r="AH272" s="9"/>
      <c r="AI272" s="9"/>
      <c r="AJ272" s="9"/>
      <c r="AK272" s="9"/>
      <c r="AL272" s="7"/>
      <c r="AM272" s="8"/>
      <c r="AN272" s="7"/>
      <c r="AO272" s="7"/>
      <c r="AP272" s="9"/>
      <c r="AQ272" s="9"/>
      <c r="AR272" s="9"/>
      <c r="AS272" s="9"/>
      <c r="AT272" s="9"/>
      <c r="AU272" s="7"/>
      <c r="AV272" s="8"/>
    </row>
    <row r="273" spans="1:48" x14ac:dyDescent="0.2">
      <c r="A273" s="9"/>
      <c r="B273" s="9"/>
      <c r="C273" s="7"/>
      <c r="D273" s="8"/>
      <c r="E273" s="13"/>
      <c r="F273" s="13"/>
      <c r="G273" s="13"/>
      <c r="H273" s="9"/>
      <c r="I273" s="9"/>
      <c r="J273" s="161"/>
      <c r="K273" s="162"/>
      <c r="L273" s="161"/>
      <c r="M273" s="7"/>
      <c r="N273" s="7"/>
      <c r="O273" s="9"/>
      <c r="P273" s="224"/>
      <c r="Q273" s="223"/>
      <c r="R273" s="153"/>
      <c r="S273" s="9"/>
      <c r="T273" s="7"/>
      <c r="U273" s="7"/>
      <c r="V273" s="7"/>
      <c r="W273" s="7"/>
      <c r="X273" s="9"/>
      <c r="Y273" s="9"/>
      <c r="Z273" s="9"/>
      <c r="AA273" s="9"/>
      <c r="AB273" s="9"/>
      <c r="AC273" s="7"/>
      <c r="AD273" s="7"/>
      <c r="AE273" s="7"/>
      <c r="AF273" s="7"/>
      <c r="AG273" s="9"/>
      <c r="AH273" s="9"/>
      <c r="AI273" s="9"/>
      <c r="AJ273" s="9"/>
      <c r="AK273" s="9"/>
      <c r="AL273" s="7"/>
      <c r="AM273" s="8"/>
      <c r="AN273" s="7"/>
      <c r="AO273" s="7"/>
      <c r="AP273" s="9"/>
      <c r="AQ273" s="9"/>
      <c r="AR273" s="9"/>
      <c r="AS273" s="9"/>
      <c r="AT273" s="9"/>
      <c r="AU273" s="7"/>
      <c r="AV273" s="8"/>
    </row>
    <row r="274" spans="1:48" x14ac:dyDescent="0.2">
      <c r="A274" s="9"/>
      <c r="B274" s="9"/>
      <c r="C274" s="7"/>
      <c r="D274" s="8"/>
      <c r="E274" s="13"/>
      <c r="F274" s="13"/>
      <c r="G274" s="13"/>
      <c r="H274" s="9"/>
      <c r="I274" s="9"/>
      <c r="J274" s="161"/>
      <c r="K274" s="162"/>
      <c r="L274" s="161"/>
      <c r="M274" s="7"/>
      <c r="N274" s="7"/>
      <c r="O274" s="9"/>
      <c r="P274" s="224"/>
      <c r="Q274" s="223"/>
      <c r="R274" s="153"/>
      <c r="S274" s="9"/>
      <c r="T274" s="7"/>
      <c r="U274" s="7"/>
      <c r="V274" s="7"/>
      <c r="W274" s="7"/>
      <c r="X274" s="9"/>
      <c r="Y274" s="9"/>
      <c r="Z274" s="9"/>
      <c r="AA274" s="9"/>
      <c r="AB274" s="9"/>
      <c r="AC274" s="7"/>
      <c r="AD274" s="7"/>
      <c r="AE274" s="7"/>
      <c r="AF274" s="7"/>
      <c r="AG274" s="9"/>
      <c r="AH274" s="9"/>
      <c r="AI274" s="9"/>
      <c r="AJ274" s="9"/>
      <c r="AK274" s="9"/>
      <c r="AL274" s="7"/>
      <c r="AM274" s="8"/>
      <c r="AN274" s="7"/>
      <c r="AO274" s="7"/>
      <c r="AP274" s="9"/>
      <c r="AQ274" s="9"/>
      <c r="AR274" s="9"/>
      <c r="AS274" s="9"/>
      <c r="AT274" s="9"/>
      <c r="AU274" s="7"/>
      <c r="AV274" s="8"/>
    </row>
    <row r="275" spans="1:48" x14ac:dyDescent="0.2">
      <c r="A275" s="9"/>
      <c r="B275" s="9"/>
      <c r="C275" s="7"/>
      <c r="D275" s="8"/>
      <c r="E275" s="13"/>
      <c r="F275" s="13"/>
      <c r="G275" s="13"/>
      <c r="H275" s="9"/>
      <c r="I275" s="9"/>
      <c r="J275" s="161"/>
      <c r="K275" s="162"/>
      <c r="L275" s="161"/>
      <c r="M275" s="7"/>
      <c r="N275" s="7"/>
      <c r="O275" s="9"/>
      <c r="P275" s="224"/>
      <c r="Q275" s="223"/>
      <c r="R275" s="153"/>
      <c r="S275" s="9"/>
      <c r="T275" s="7"/>
      <c r="U275" s="7"/>
      <c r="V275" s="7"/>
      <c r="W275" s="7"/>
      <c r="X275" s="9"/>
      <c r="Y275" s="9"/>
      <c r="Z275" s="9"/>
      <c r="AA275" s="9"/>
      <c r="AB275" s="9"/>
      <c r="AC275" s="7"/>
      <c r="AD275" s="7"/>
      <c r="AE275" s="7"/>
      <c r="AF275" s="7"/>
      <c r="AG275" s="9"/>
      <c r="AH275" s="9"/>
      <c r="AI275" s="9"/>
      <c r="AJ275" s="9"/>
      <c r="AK275" s="9"/>
      <c r="AL275" s="7"/>
      <c r="AM275" s="8"/>
      <c r="AN275" s="7"/>
      <c r="AO275" s="7"/>
      <c r="AP275" s="9"/>
      <c r="AQ275" s="9"/>
      <c r="AR275" s="9"/>
      <c r="AS275" s="9"/>
      <c r="AT275" s="9"/>
      <c r="AU275" s="7"/>
      <c r="AV275" s="8"/>
    </row>
    <row r="276" spans="1:48" x14ac:dyDescent="0.2">
      <c r="A276" s="9"/>
      <c r="B276" s="9"/>
      <c r="C276" s="7"/>
      <c r="D276" s="8"/>
      <c r="E276" s="13"/>
      <c r="F276" s="13"/>
      <c r="G276" s="13"/>
      <c r="H276" s="9"/>
      <c r="I276" s="9"/>
      <c r="J276" s="161"/>
      <c r="K276" s="162"/>
      <c r="L276" s="161"/>
      <c r="M276" s="7"/>
      <c r="N276" s="7"/>
      <c r="O276" s="9"/>
      <c r="P276" s="224"/>
      <c r="Q276" s="223"/>
      <c r="R276" s="153"/>
      <c r="S276" s="9"/>
      <c r="T276" s="7"/>
      <c r="U276" s="7"/>
      <c r="V276" s="7"/>
      <c r="W276" s="7"/>
      <c r="X276" s="9"/>
      <c r="Y276" s="9"/>
      <c r="Z276" s="9"/>
      <c r="AA276" s="9"/>
      <c r="AB276" s="9"/>
      <c r="AC276" s="7"/>
      <c r="AD276" s="7"/>
      <c r="AE276" s="7"/>
      <c r="AF276" s="7"/>
      <c r="AG276" s="9"/>
      <c r="AH276" s="9"/>
      <c r="AI276" s="9"/>
      <c r="AJ276" s="9"/>
      <c r="AK276" s="9"/>
      <c r="AL276" s="7"/>
      <c r="AM276" s="8"/>
      <c r="AN276" s="7"/>
      <c r="AO276" s="7"/>
      <c r="AP276" s="9"/>
      <c r="AQ276" s="9"/>
      <c r="AR276" s="9"/>
      <c r="AS276" s="9"/>
      <c r="AT276" s="9"/>
      <c r="AU276" s="7"/>
      <c r="AV276" s="8"/>
    </row>
    <row r="277" spans="1:48" x14ac:dyDescent="0.2">
      <c r="A277" s="9"/>
      <c r="B277" s="9"/>
      <c r="C277" s="7"/>
      <c r="D277" s="8"/>
      <c r="E277" s="13"/>
      <c r="F277" s="13"/>
      <c r="G277" s="13"/>
      <c r="H277" s="9"/>
      <c r="I277" s="9"/>
      <c r="J277" s="161"/>
      <c r="K277" s="162"/>
      <c r="L277" s="161"/>
      <c r="M277" s="7"/>
      <c r="N277" s="7"/>
      <c r="O277" s="9"/>
      <c r="P277" s="224"/>
      <c r="Q277" s="223"/>
      <c r="R277" s="153"/>
      <c r="S277" s="9"/>
      <c r="T277" s="7"/>
      <c r="U277" s="7"/>
      <c r="V277" s="7"/>
      <c r="W277" s="7"/>
      <c r="X277" s="9"/>
      <c r="Y277" s="9"/>
      <c r="Z277" s="9"/>
      <c r="AA277" s="9"/>
      <c r="AB277" s="9"/>
      <c r="AC277" s="7"/>
      <c r="AD277" s="7"/>
      <c r="AE277" s="7"/>
      <c r="AF277" s="7"/>
      <c r="AG277" s="9"/>
      <c r="AH277" s="9"/>
      <c r="AI277" s="9"/>
      <c r="AJ277" s="9"/>
      <c r="AK277" s="9"/>
      <c r="AL277" s="7"/>
      <c r="AM277" s="8"/>
      <c r="AN277" s="7"/>
      <c r="AO277" s="7"/>
      <c r="AP277" s="9"/>
      <c r="AQ277" s="9"/>
      <c r="AR277" s="9"/>
      <c r="AS277" s="9"/>
      <c r="AT277" s="9"/>
      <c r="AU277" s="7"/>
      <c r="AV277" s="8"/>
    </row>
    <row r="278" spans="1:48" x14ac:dyDescent="0.2">
      <c r="A278" s="9"/>
      <c r="B278" s="9"/>
      <c r="C278" s="7"/>
      <c r="D278" s="8"/>
      <c r="E278" s="13"/>
      <c r="F278" s="13"/>
      <c r="G278" s="13"/>
      <c r="H278" s="9"/>
      <c r="I278" s="9"/>
      <c r="J278" s="161"/>
      <c r="K278" s="162"/>
      <c r="L278" s="161"/>
      <c r="M278" s="7"/>
      <c r="N278" s="7"/>
      <c r="O278" s="9"/>
      <c r="P278" s="224"/>
      <c r="Q278" s="223"/>
      <c r="R278" s="153"/>
      <c r="S278" s="9"/>
      <c r="T278" s="7"/>
      <c r="U278" s="7"/>
      <c r="V278" s="7"/>
      <c r="W278" s="7"/>
      <c r="X278" s="9"/>
      <c r="Y278" s="9"/>
      <c r="Z278" s="9"/>
      <c r="AA278" s="9"/>
      <c r="AB278" s="9"/>
      <c r="AC278" s="7"/>
      <c r="AD278" s="7"/>
      <c r="AE278" s="7"/>
      <c r="AF278" s="7"/>
      <c r="AG278" s="9"/>
      <c r="AH278" s="9"/>
      <c r="AI278" s="9"/>
      <c r="AJ278" s="9"/>
      <c r="AK278" s="9"/>
      <c r="AL278" s="7"/>
      <c r="AM278" s="8"/>
      <c r="AN278" s="7"/>
      <c r="AO278" s="7"/>
      <c r="AP278" s="9"/>
      <c r="AQ278" s="9"/>
      <c r="AR278" s="9"/>
      <c r="AS278" s="9"/>
      <c r="AT278" s="9"/>
      <c r="AU278" s="7"/>
      <c r="AV278" s="8"/>
    </row>
    <row r="279" spans="1:48" x14ac:dyDescent="0.2">
      <c r="A279" s="9"/>
      <c r="B279" s="9"/>
      <c r="C279" s="7"/>
      <c r="D279" s="8"/>
      <c r="E279" s="13"/>
      <c r="F279" s="13"/>
      <c r="G279" s="13"/>
      <c r="H279" s="9"/>
      <c r="I279" s="9"/>
      <c r="J279" s="161"/>
      <c r="K279" s="162"/>
      <c r="L279" s="161"/>
      <c r="M279" s="7"/>
      <c r="N279" s="7"/>
      <c r="O279" s="9"/>
      <c r="P279" s="224"/>
      <c r="Q279" s="223"/>
      <c r="R279" s="153"/>
      <c r="S279" s="9"/>
      <c r="T279" s="7"/>
      <c r="U279" s="7"/>
      <c r="V279" s="7"/>
      <c r="W279" s="7"/>
      <c r="X279" s="9"/>
      <c r="Y279" s="9"/>
      <c r="Z279" s="9"/>
      <c r="AA279" s="9"/>
      <c r="AB279" s="9"/>
      <c r="AC279" s="7"/>
      <c r="AD279" s="7"/>
      <c r="AE279" s="7"/>
      <c r="AF279" s="7"/>
      <c r="AG279" s="9"/>
      <c r="AH279" s="9"/>
      <c r="AI279" s="9"/>
      <c r="AJ279" s="9"/>
      <c r="AK279" s="9"/>
      <c r="AL279" s="7"/>
      <c r="AM279" s="8"/>
      <c r="AN279" s="7"/>
      <c r="AO279" s="7"/>
      <c r="AP279" s="9"/>
      <c r="AQ279" s="9"/>
      <c r="AR279" s="9"/>
      <c r="AS279" s="9"/>
      <c r="AT279" s="9"/>
      <c r="AU279" s="7"/>
      <c r="AV279" s="8"/>
    </row>
    <row r="280" spans="1:48" x14ac:dyDescent="0.2">
      <c r="A280" s="9"/>
      <c r="B280" s="9"/>
      <c r="C280" s="7"/>
      <c r="D280" s="8"/>
      <c r="E280" s="13"/>
      <c r="F280" s="13"/>
      <c r="G280" s="13"/>
      <c r="H280" s="9"/>
      <c r="I280" s="9"/>
      <c r="J280" s="161"/>
      <c r="K280" s="162"/>
      <c r="L280" s="161"/>
      <c r="M280" s="7"/>
      <c r="N280" s="7"/>
      <c r="O280" s="9"/>
      <c r="P280" s="224"/>
      <c r="Q280" s="223"/>
      <c r="R280" s="153"/>
      <c r="S280" s="9"/>
      <c r="T280" s="7"/>
      <c r="U280" s="7"/>
      <c r="V280" s="7"/>
      <c r="W280" s="7"/>
      <c r="X280" s="9"/>
      <c r="Y280" s="9"/>
      <c r="Z280" s="9"/>
      <c r="AA280" s="9"/>
      <c r="AB280" s="9"/>
      <c r="AC280" s="7"/>
      <c r="AD280" s="7"/>
      <c r="AE280" s="7"/>
      <c r="AF280" s="7"/>
      <c r="AG280" s="9"/>
      <c r="AH280" s="9"/>
      <c r="AI280" s="9"/>
      <c r="AJ280" s="9"/>
      <c r="AK280" s="9"/>
      <c r="AL280" s="7"/>
      <c r="AM280" s="8"/>
      <c r="AN280" s="7"/>
      <c r="AO280" s="7"/>
      <c r="AP280" s="9"/>
      <c r="AQ280" s="9"/>
      <c r="AR280" s="9"/>
      <c r="AS280" s="9"/>
      <c r="AT280" s="9"/>
      <c r="AU280" s="7"/>
      <c r="AV280" s="8"/>
    </row>
    <row r="281" spans="1:48" x14ac:dyDescent="0.2">
      <c r="A281" s="9"/>
      <c r="B281" s="9"/>
      <c r="C281" s="7"/>
      <c r="D281" s="8"/>
      <c r="E281" s="13"/>
      <c r="F281" s="13"/>
      <c r="G281" s="13"/>
      <c r="H281" s="9"/>
      <c r="I281" s="9"/>
      <c r="J281" s="161"/>
      <c r="K281" s="162"/>
      <c r="L281" s="161"/>
      <c r="M281" s="7"/>
      <c r="N281" s="7"/>
      <c r="O281" s="9"/>
      <c r="P281" s="224"/>
      <c r="Q281" s="223"/>
      <c r="R281" s="153"/>
      <c r="S281" s="9"/>
      <c r="T281" s="7"/>
      <c r="U281" s="7"/>
      <c r="V281" s="7"/>
      <c r="W281" s="7"/>
      <c r="X281" s="9"/>
      <c r="Y281" s="9"/>
      <c r="Z281" s="9"/>
      <c r="AA281" s="9"/>
      <c r="AB281" s="9"/>
      <c r="AC281" s="7"/>
      <c r="AD281" s="7"/>
      <c r="AE281" s="7"/>
      <c r="AF281" s="7"/>
      <c r="AG281" s="9"/>
      <c r="AH281" s="9"/>
      <c r="AI281" s="9"/>
      <c r="AJ281" s="9"/>
      <c r="AK281" s="9"/>
      <c r="AL281" s="7"/>
      <c r="AM281" s="8"/>
      <c r="AN281" s="7"/>
      <c r="AO281" s="7"/>
      <c r="AP281" s="9"/>
      <c r="AQ281" s="9"/>
      <c r="AR281" s="9"/>
      <c r="AS281" s="9"/>
      <c r="AT281" s="9"/>
      <c r="AU281" s="7"/>
      <c r="AV281" s="8"/>
    </row>
    <row r="282" spans="1:48" x14ac:dyDescent="0.2">
      <c r="A282" s="9"/>
      <c r="B282" s="9"/>
      <c r="C282" s="7"/>
      <c r="D282" s="8"/>
      <c r="E282" s="13"/>
      <c r="F282" s="13"/>
      <c r="G282" s="13"/>
      <c r="H282" s="9"/>
      <c r="I282" s="9"/>
      <c r="J282" s="161"/>
      <c r="K282" s="162"/>
      <c r="L282" s="161"/>
      <c r="M282" s="7"/>
      <c r="N282" s="7"/>
      <c r="O282" s="9"/>
      <c r="P282" s="224"/>
      <c r="Q282" s="223"/>
      <c r="R282" s="153"/>
      <c r="S282" s="9"/>
      <c r="T282" s="7"/>
      <c r="U282" s="7"/>
      <c r="V282" s="7"/>
      <c r="W282" s="7"/>
      <c r="X282" s="9"/>
      <c r="Y282" s="9"/>
      <c r="Z282" s="9"/>
      <c r="AA282" s="9"/>
      <c r="AB282" s="9"/>
      <c r="AC282" s="7"/>
      <c r="AD282" s="7"/>
      <c r="AE282" s="7"/>
      <c r="AF282" s="7"/>
      <c r="AG282" s="9"/>
      <c r="AH282" s="9"/>
      <c r="AI282" s="9"/>
      <c r="AJ282" s="9"/>
      <c r="AK282" s="9"/>
      <c r="AL282" s="7"/>
      <c r="AM282" s="8"/>
      <c r="AN282" s="7"/>
      <c r="AO282" s="7"/>
      <c r="AP282" s="9"/>
      <c r="AQ282" s="9"/>
      <c r="AR282" s="9"/>
      <c r="AS282" s="9"/>
      <c r="AT282" s="9"/>
      <c r="AU282" s="7"/>
      <c r="AV282" s="8"/>
    </row>
    <row r="283" spans="1:48" x14ac:dyDescent="0.2">
      <c r="A283" s="9"/>
      <c r="B283" s="9"/>
      <c r="C283" s="7"/>
      <c r="D283" s="8"/>
      <c r="E283" s="13"/>
      <c r="F283" s="13"/>
      <c r="G283" s="13"/>
      <c r="H283" s="9"/>
      <c r="I283" s="9"/>
      <c r="J283" s="161"/>
      <c r="K283" s="162"/>
      <c r="L283" s="161"/>
      <c r="M283" s="7"/>
      <c r="N283" s="7"/>
      <c r="O283" s="9"/>
      <c r="P283" s="224"/>
      <c r="Q283" s="223"/>
      <c r="R283" s="153"/>
      <c r="S283" s="9"/>
      <c r="T283" s="7"/>
      <c r="U283" s="7"/>
      <c r="V283" s="7"/>
      <c r="W283" s="7"/>
      <c r="X283" s="9"/>
      <c r="Y283" s="9"/>
      <c r="Z283" s="9"/>
      <c r="AA283" s="9"/>
      <c r="AB283" s="9"/>
      <c r="AC283" s="7"/>
      <c r="AD283" s="7"/>
      <c r="AE283" s="7"/>
      <c r="AF283" s="7"/>
      <c r="AG283" s="9"/>
      <c r="AH283" s="9"/>
      <c r="AI283" s="9"/>
      <c r="AJ283" s="9"/>
      <c r="AK283" s="9"/>
      <c r="AL283" s="7"/>
      <c r="AM283" s="8"/>
      <c r="AN283" s="7"/>
      <c r="AO283" s="7"/>
      <c r="AP283" s="9"/>
      <c r="AQ283" s="9"/>
      <c r="AR283" s="9"/>
      <c r="AS283" s="9"/>
      <c r="AT283" s="9"/>
      <c r="AU283" s="7"/>
      <c r="AV283" s="8"/>
    </row>
    <row r="284" spans="1:48" x14ac:dyDescent="0.2">
      <c r="A284" s="9"/>
      <c r="B284" s="9"/>
      <c r="C284" s="7"/>
      <c r="D284" s="8"/>
      <c r="E284" s="13"/>
      <c r="F284" s="13"/>
      <c r="G284" s="13"/>
      <c r="H284" s="9"/>
      <c r="I284" s="9"/>
      <c r="J284" s="161"/>
      <c r="K284" s="162"/>
      <c r="L284" s="161"/>
      <c r="M284" s="7"/>
      <c r="N284" s="7"/>
      <c r="O284" s="9"/>
      <c r="P284" s="224"/>
      <c r="Q284" s="223"/>
      <c r="R284" s="153"/>
      <c r="S284" s="9"/>
      <c r="T284" s="7"/>
      <c r="U284" s="7"/>
      <c r="V284" s="7"/>
      <c r="W284" s="7"/>
      <c r="X284" s="9"/>
      <c r="Y284" s="9"/>
      <c r="Z284" s="9"/>
      <c r="AA284" s="9"/>
      <c r="AB284" s="9"/>
      <c r="AC284" s="7"/>
      <c r="AD284" s="7"/>
      <c r="AE284" s="7"/>
      <c r="AF284" s="7"/>
      <c r="AG284" s="9"/>
      <c r="AH284" s="9"/>
      <c r="AI284" s="9"/>
      <c r="AJ284" s="9"/>
      <c r="AK284" s="9"/>
      <c r="AL284" s="7"/>
      <c r="AM284" s="8"/>
      <c r="AN284" s="7"/>
      <c r="AO284" s="7"/>
      <c r="AP284" s="9"/>
      <c r="AQ284" s="9"/>
      <c r="AR284" s="9"/>
      <c r="AS284" s="9"/>
      <c r="AT284" s="9"/>
      <c r="AU284" s="7"/>
      <c r="AV284" s="8"/>
    </row>
    <row r="285" spans="1:48" x14ac:dyDescent="0.2">
      <c r="A285" s="9"/>
      <c r="B285" s="9"/>
      <c r="C285" s="7"/>
      <c r="D285" s="8"/>
      <c r="E285" s="13"/>
      <c r="F285" s="13"/>
      <c r="G285" s="13"/>
      <c r="H285" s="9"/>
      <c r="I285" s="9"/>
      <c r="J285" s="161"/>
      <c r="K285" s="162"/>
      <c r="L285" s="161"/>
      <c r="M285" s="7"/>
      <c r="N285" s="7"/>
      <c r="O285" s="9"/>
      <c r="P285" s="224"/>
      <c r="Q285" s="223"/>
      <c r="R285" s="153"/>
      <c r="S285" s="9"/>
      <c r="T285" s="7"/>
      <c r="U285" s="7"/>
      <c r="V285" s="7"/>
      <c r="W285" s="7"/>
      <c r="X285" s="9"/>
      <c r="Y285" s="9"/>
      <c r="Z285" s="9"/>
      <c r="AA285" s="9"/>
      <c r="AB285" s="9"/>
      <c r="AC285" s="7"/>
      <c r="AD285" s="7"/>
      <c r="AE285" s="7"/>
      <c r="AF285" s="7"/>
      <c r="AG285" s="9"/>
      <c r="AH285" s="9"/>
      <c r="AI285" s="9"/>
      <c r="AJ285" s="9"/>
      <c r="AK285" s="9"/>
      <c r="AL285" s="7"/>
      <c r="AM285" s="8"/>
      <c r="AN285" s="7"/>
      <c r="AO285" s="7"/>
      <c r="AP285" s="9"/>
      <c r="AQ285" s="9"/>
      <c r="AR285" s="9"/>
      <c r="AS285" s="9"/>
      <c r="AT285" s="9"/>
      <c r="AU285" s="7"/>
      <c r="AV285" s="8"/>
    </row>
    <row r="286" spans="1:48" x14ac:dyDescent="0.2">
      <c r="A286" s="9"/>
      <c r="B286" s="9"/>
      <c r="C286" s="7"/>
      <c r="D286" s="8"/>
      <c r="E286" s="13"/>
      <c r="F286" s="13"/>
      <c r="G286" s="13"/>
      <c r="H286" s="9"/>
      <c r="I286" s="9"/>
      <c r="J286" s="161"/>
      <c r="K286" s="162"/>
      <c r="L286" s="161"/>
      <c r="M286" s="7"/>
      <c r="N286" s="7"/>
      <c r="O286" s="9"/>
      <c r="P286" s="224"/>
      <c r="Q286" s="223"/>
      <c r="R286" s="153"/>
      <c r="S286" s="9"/>
      <c r="T286" s="7"/>
      <c r="U286" s="7"/>
      <c r="V286" s="7"/>
      <c r="W286" s="7"/>
      <c r="X286" s="9"/>
      <c r="Y286" s="9"/>
      <c r="Z286" s="9"/>
      <c r="AA286" s="9"/>
      <c r="AB286" s="9"/>
      <c r="AC286" s="7"/>
      <c r="AD286" s="7"/>
      <c r="AE286" s="7"/>
      <c r="AF286" s="7"/>
      <c r="AG286" s="9"/>
      <c r="AH286" s="9"/>
      <c r="AI286" s="9"/>
      <c r="AJ286" s="9"/>
      <c r="AK286" s="9"/>
      <c r="AL286" s="7"/>
      <c r="AM286" s="8"/>
      <c r="AN286" s="7"/>
      <c r="AO286" s="7"/>
      <c r="AP286" s="9"/>
      <c r="AQ286" s="9"/>
      <c r="AR286" s="9"/>
      <c r="AS286" s="9"/>
      <c r="AT286" s="9"/>
      <c r="AU286" s="7"/>
      <c r="AV286" s="8"/>
    </row>
    <row r="287" spans="1:48" x14ac:dyDescent="0.2">
      <c r="A287" s="9"/>
      <c r="B287" s="9"/>
      <c r="C287" s="7"/>
      <c r="D287" s="8"/>
      <c r="E287" s="13"/>
      <c r="F287" s="13"/>
      <c r="G287" s="13"/>
      <c r="H287" s="9"/>
      <c r="I287" s="9"/>
      <c r="J287" s="161"/>
      <c r="K287" s="162"/>
      <c r="L287" s="161"/>
      <c r="M287" s="7"/>
      <c r="N287" s="7"/>
      <c r="O287" s="9"/>
      <c r="P287" s="224"/>
      <c r="Q287" s="223"/>
      <c r="R287" s="153"/>
      <c r="S287" s="9"/>
      <c r="T287" s="7"/>
      <c r="U287" s="7"/>
      <c r="V287" s="7"/>
      <c r="W287" s="7"/>
      <c r="X287" s="9"/>
      <c r="Y287" s="9"/>
      <c r="Z287" s="9"/>
      <c r="AA287" s="9"/>
      <c r="AB287" s="9"/>
      <c r="AC287" s="7"/>
      <c r="AD287" s="7"/>
      <c r="AE287" s="7"/>
      <c r="AF287" s="7"/>
      <c r="AG287" s="9"/>
      <c r="AH287" s="9"/>
      <c r="AI287" s="9"/>
      <c r="AJ287" s="9"/>
      <c r="AK287" s="9"/>
      <c r="AL287" s="7"/>
      <c r="AM287" s="8"/>
      <c r="AN287" s="7"/>
      <c r="AO287" s="7"/>
      <c r="AP287" s="9"/>
      <c r="AQ287" s="9"/>
      <c r="AR287" s="9"/>
      <c r="AS287" s="9"/>
      <c r="AT287" s="9"/>
      <c r="AU287" s="7"/>
      <c r="AV287" s="8"/>
    </row>
    <row r="288" spans="1:48" x14ac:dyDescent="0.2">
      <c r="A288" s="9"/>
      <c r="B288" s="9"/>
      <c r="C288" s="7"/>
      <c r="D288" s="8"/>
      <c r="E288" s="13"/>
      <c r="F288" s="13"/>
      <c r="G288" s="13"/>
      <c r="H288" s="9"/>
      <c r="I288" s="9"/>
      <c r="J288" s="161"/>
      <c r="K288" s="162"/>
      <c r="L288" s="161"/>
      <c r="M288" s="7"/>
      <c r="N288" s="7"/>
      <c r="O288" s="9"/>
      <c r="P288" s="224"/>
      <c r="Q288" s="223"/>
      <c r="R288" s="153"/>
      <c r="S288" s="9"/>
      <c r="T288" s="7"/>
      <c r="U288" s="7"/>
      <c r="V288" s="7"/>
      <c r="W288" s="7"/>
      <c r="X288" s="9"/>
      <c r="Y288" s="9"/>
      <c r="Z288" s="9"/>
      <c r="AA288" s="9"/>
      <c r="AB288" s="9"/>
      <c r="AC288" s="7"/>
      <c r="AD288" s="7"/>
      <c r="AE288" s="7"/>
      <c r="AF288" s="7"/>
      <c r="AG288" s="9"/>
      <c r="AH288" s="9"/>
      <c r="AI288" s="9"/>
      <c r="AJ288" s="9"/>
      <c r="AK288" s="9"/>
      <c r="AL288" s="7"/>
      <c r="AM288" s="8"/>
      <c r="AN288" s="7"/>
      <c r="AO288" s="7"/>
      <c r="AP288" s="9"/>
      <c r="AQ288" s="9"/>
      <c r="AR288" s="9"/>
      <c r="AS288" s="9"/>
      <c r="AT288" s="9"/>
      <c r="AU288" s="7"/>
      <c r="AV288" s="8"/>
    </row>
    <row r="289" spans="1:48" x14ac:dyDescent="0.2">
      <c r="A289" s="9"/>
      <c r="B289" s="9"/>
      <c r="C289" s="7"/>
      <c r="D289" s="8"/>
      <c r="E289" s="13"/>
      <c r="F289" s="13"/>
      <c r="G289" s="13"/>
      <c r="H289" s="9"/>
      <c r="I289" s="9"/>
      <c r="J289" s="161"/>
      <c r="K289" s="162"/>
      <c r="L289" s="161"/>
      <c r="M289" s="7"/>
      <c r="N289" s="7"/>
      <c r="O289" s="9"/>
      <c r="P289" s="224"/>
      <c r="Q289" s="223"/>
      <c r="R289" s="153"/>
      <c r="S289" s="9"/>
      <c r="T289" s="7"/>
      <c r="U289" s="7"/>
      <c r="V289" s="7"/>
      <c r="W289" s="7"/>
      <c r="X289" s="9"/>
      <c r="Y289" s="9"/>
      <c r="Z289" s="9"/>
      <c r="AA289" s="9"/>
      <c r="AB289" s="9"/>
      <c r="AC289" s="7"/>
      <c r="AD289" s="7"/>
      <c r="AE289" s="7"/>
      <c r="AF289" s="7"/>
      <c r="AG289" s="9"/>
      <c r="AH289" s="9"/>
      <c r="AI289" s="9"/>
      <c r="AJ289" s="9"/>
      <c r="AK289" s="9"/>
      <c r="AL289" s="7"/>
      <c r="AM289" s="8"/>
      <c r="AN289" s="7"/>
      <c r="AO289" s="7"/>
      <c r="AP289" s="9"/>
      <c r="AQ289" s="9"/>
      <c r="AR289" s="9"/>
      <c r="AS289" s="9"/>
      <c r="AT289" s="9"/>
      <c r="AU289" s="7"/>
      <c r="AV289" s="8"/>
    </row>
    <row r="290" spans="1:48" x14ac:dyDescent="0.2">
      <c r="A290" s="9"/>
      <c r="B290" s="9"/>
      <c r="C290" s="7"/>
      <c r="D290" s="8"/>
      <c r="E290" s="13"/>
      <c r="F290" s="13"/>
      <c r="G290" s="13"/>
      <c r="H290" s="9"/>
      <c r="I290" s="9"/>
      <c r="J290" s="161"/>
      <c r="K290" s="162"/>
      <c r="L290" s="161"/>
      <c r="M290" s="7"/>
      <c r="N290" s="7"/>
      <c r="O290" s="9"/>
      <c r="P290" s="224"/>
      <c r="Q290" s="223"/>
      <c r="R290" s="153"/>
      <c r="S290" s="9"/>
      <c r="T290" s="7"/>
      <c r="U290" s="7"/>
      <c r="V290" s="7"/>
      <c r="W290" s="7"/>
      <c r="X290" s="9"/>
      <c r="Y290" s="9"/>
      <c r="Z290" s="9"/>
      <c r="AA290" s="9"/>
      <c r="AB290" s="9"/>
      <c r="AC290" s="7"/>
      <c r="AD290" s="7"/>
      <c r="AE290" s="7"/>
      <c r="AF290" s="7"/>
      <c r="AG290" s="9"/>
      <c r="AH290" s="9"/>
      <c r="AI290" s="9"/>
      <c r="AJ290" s="9"/>
      <c r="AK290" s="9"/>
      <c r="AL290" s="7"/>
      <c r="AM290" s="8"/>
      <c r="AN290" s="7"/>
      <c r="AO290" s="7"/>
      <c r="AP290" s="9"/>
      <c r="AQ290" s="9"/>
      <c r="AR290" s="9"/>
      <c r="AS290" s="9"/>
      <c r="AT290" s="9"/>
      <c r="AU290" s="7"/>
      <c r="AV290" s="8"/>
    </row>
    <row r="291" spans="1:48" x14ac:dyDescent="0.2">
      <c r="A291" s="9"/>
      <c r="B291" s="9"/>
      <c r="C291" s="7"/>
      <c r="D291" s="8"/>
      <c r="E291" s="13"/>
      <c r="F291" s="13"/>
      <c r="G291" s="13"/>
      <c r="H291" s="9"/>
      <c r="I291" s="9"/>
      <c r="J291" s="161"/>
      <c r="K291" s="162"/>
      <c r="L291" s="161"/>
      <c r="M291" s="7"/>
      <c r="N291" s="7"/>
      <c r="O291" s="9"/>
      <c r="P291" s="224"/>
      <c r="Q291" s="223"/>
      <c r="R291" s="153"/>
      <c r="S291" s="9"/>
      <c r="T291" s="7"/>
      <c r="U291" s="7"/>
      <c r="V291" s="7"/>
      <c r="W291" s="7"/>
      <c r="X291" s="9"/>
      <c r="Y291" s="9"/>
      <c r="Z291" s="9"/>
      <c r="AA291" s="9"/>
      <c r="AB291" s="9"/>
      <c r="AC291" s="7"/>
      <c r="AD291" s="7"/>
      <c r="AE291" s="7"/>
      <c r="AF291" s="7"/>
      <c r="AG291" s="9"/>
      <c r="AH291" s="9"/>
      <c r="AI291" s="9"/>
      <c r="AJ291" s="9"/>
      <c r="AK291" s="9"/>
      <c r="AL291" s="7"/>
      <c r="AM291" s="8"/>
      <c r="AN291" s="7"/>
      <c r="AO291" s="7"/>
      <c r="AP291" s="9"/>
      <c r="AQ291" s="9"/>
      <c r="AR291" s="9"/>
      <c r="AS291" s="9"/>
      <c r="AT291" s="9"/>
      <c r="AU291" s="7"/>
      <c r="AV291" s="8"/>
    </row>
    <row r="292" spans="1:48" x14ac:dyDescent="0.2">
      <c r="A292" s="9"/>
      <c r="B292" s="9"/>
      <c r="C292" s="7"/>
      <c r="D292" s="8"/>
      <c r="E292" s="13"/>
      <c r="F292" s="13"/>
      <c r="G292" s="13"/>
      <c r="H292" s="9"/>
      <c r="I292" s="9"/>
      <c r="J292" s="161"/>
      <c r="K292" s="162"/>
      <c r="L292" s="161"/>
      <c r="M292" s="7"/>
      <c r="N292" s="7"/>
      <c r="O292" s="9"/>
      <c r="P292" s="224"/>
      <c r="Q292" s="223"/>
      <c r="R292" s="153"/>
      <c r="S292" s="9"/>
      <c r="T292" s="7"/>
      <c r="U292" s="7"/>
      <c r="V292" s="7"/>
      <c r="W292" s="7"/>
      <c r="X292" s="9"/>
      <c r="Y292" s="9"/>
      <c r="Z292" s="9"/>
      <c r="AA292" s="9"/>
      <c r="AB292" s="9"/>
      <c r="AC292" s="7"/>
      <c r="AD292" s="7"/>
      <c r="AE292" s="7"/>
      <c r="AF292" s="7"/>
      <c r="AG292" s="9"/>
      <c r="AH292" s="9"/>
      <c r="AI292" s="9"/>
      <c r="AJ292" s="9"/>
      <c r="AK292" s="9"/>
      <c r="AL292" s="7"/>
      <c r="AM292" s="8"/>
      <c r="AN292" s="7"/>
      <c r="AO292" s="7"/>
      <c r="AP292" s="9"/>
      <c r="AQ292" s="9"/>
      <c r="AR292" s="9"/>
      <c r="AS292" s="9"/>
      <c r="AT292" s="9"/>
      <c r="AU292" s="7"/>
      <c r="AV292" s="8"/>
    </row>
    <row r="293" spans="1:48" x14ac:dyDescent="0.2">
      <c r="A293" s="9"/>
      <c r="B293" s="9"/>
      <c r="C293" s="7"/>
      <c r="D293" s="8"/>
      <c r="E293" s="13"/>
      <c r="F293" s="13"/>
      <c r="G293" s="13"/>
      <c r="H293" s="9"/>
      <c r="I293" s="9"/>
      <c r="J293" s="161"/>
      <c r="K293" s="162"/>
      <c r="L293" s="161"/>
      <c r="M293" s="7"/>
      <c r="N293" s="7"/>
      <c r="O293" s="9"/>
      <c r="P293" s="224"/>
      <c r="Q293" s="223"/>
      <c r="R293" s="153"/>
      <c r="S293" s="9"/>
      <c r="T293" s="7"/>
      <c r="U293" s="7"/>
      <c r="V293" s="7"/>
      <c r="W293" s="7"/>
      <c r="X293" s="9"/>
      <c r="Y293" s="9"/>
      <c r="Z293" s="9"/>
      <c r="AA293" s="9"/>
      <c r="AB293" s="9"/>
      <c r="AC293" s="7"/>
      <c r="AD293" s="7"/>
      <c r="AE293" s="7"/>
      <c r="AF293" s="7"/>
      <c r="AG293" s="9"/>
      <c r="AH293" s="9"/>
      <c r="AI293" s="9"/>
      <c r="AJ293" s="9"/>
      <c r="AK293" s="9"/>
      <c r="AL293" s="7"/>
      <c r="AM293" s="8"/>
      <c r="AN293" s="7"/>
      <c r="AO293" s="7"/>
      <c r="AP293" s="9"/>
      <c r="AQ293" s="9"/>
      <c r="AR293" s="9"/>
      <c r="AS293" s="9"/>
      <c r="AT293" s="9"/>
      <c r="AU293" s="7"/>
      <c r="AV293" s="8"/>
    </row>
    <row r="294" spans="1:48" x14ac:dyDescent="0.2">
      <c r="A294" s="9"/>
      <c r="B294" s="9"/>
      <c r="C294" s="7"/>
      <c r="D294" s="8"/>
      <c r="E294" s="13"/>
      <c r="F294" s="13"/>
      <c r="G294" s="13"/>
      <c r="H294" s="9"/>
      <c r="I294" s="9"/>
      <c r="J294" s="161"/>
      <c r="K294" s="162"/>
      <c r="L294" s="161"/>
      <c r="M294" s="7"/>
      <c r="N294" s="7"/>
      <c r="O294" s="9"/>
      <c r="P294" s="224"/>
      <c r="Q294" s="223"/>
      <c r="R294" s="153"/>
      <c r="S294" s="9"/>
      <c r="T294" s="7"/>
      <c r="U294" s="7"/>
      <c r="V294" s="7"/>
      <c r="W294" s="7"/>
      <c r="X294" s="9"/>
      <c r="Y294" s="9"/>
      <c r="Z294" s="9"/>
      <c r="AA294" s="9"/>
      <c r="AB294" s="9"/>
      <c r="AC294" s="7"/>
      <c r="AD294" s="7"/>
      <c r="AE294" s="7"/>
      <c r="AF294" s="7"/>
      <c r="AG294" s="9"/>
      <c r="AH294" s="9"/>
      <c r="AI294" s="9"/>
      <c r="AJ294" s="9"/>
      <c r="AK294" s="9"/>
      <c r="AL294" s="7"/>
      <c r="AM294" s="8"/>
      <c r="AN294" s="7"/>
      <c r="AO294" s="7"/>
      <c r="AP294" s="9"/>
      <c r="AQ294" s="9"/>
      <c r="AR294" s="9"/>
      <c r="AS294" s="9"/>
      <c r="AT294" s="9"/>
      <c r="AU294" s="7"/>
      <c r="AV294" s="8"/>
    </row>
    <row r="295" spans="1:48" x14ac:dyDescent="0.2">
      <c r="A295" s="9"/>
      <c r="B295" s="9"/>
      <c r="C295" s="7"/>
      <c r="D295" s="8"/>
      <c r="E295" s="13"/>
      <c r="F295" s="13"/>
      <c r="G295" s="13"/>
      <c r="H295" s="9"/>
      <c r="I295" s="9"/>
      <c r="J295" s="161"/>
      <c r="K295" s="162"/>
      <c r="L295" s="161"/>
      <c r="M295" s="7"/>
      <c r="N295" s="7"/>
      <c r="O295" s="9"/>
      <c r="P295" s="224"/>
      <c r="Q295" s="223"/>
      <c r="R295" s="153"/>
      <c r="S295" s="9"/>
      <c r="T295" s="7"/>
      <c r="U295" s="7"/>
      <c r="V295" s="7"/>
      <c r="W295" s="7"/>
      <c r="X295" s="9"/>
      <c r="Y295" s="9"/>
      <c r="Z295" s="9"/>
      <c r="AA295" s="9"/>
      <c r="AB295" s="9"/>
      <c r="AC295" s="7"/>
      <c r="AD295" s="7"/>
      <c r="AE295" s="7"/>
      <c r="AF295" s="7"/>
      <c r="AG295" s="9"/>
      <c r="AH295" s="9"/>
      <c r="AI295" s="9"/>
      <c r="AJ295" s="9"/>
      <c r="AK295" s="9"/>
      <c r="AL295" s="7"/>
      <c r="AM295" s="8"/>
      <c r="AN295" s="7"/>
      <c r="AO295" s="7"/>
      <c r="AP295" s="9"/>
      <c r="AQ295" s="9"/>
      <c r="AR295" s="9"/>
      <c r="AS295" s="9"/>
      <c r="AT295" s="9"/>
      <c r="AU295" s="7"/>
      <c r="AV295" s="8"/>
    </row>
    <row r="296" spans="1:48" x14ac:dyDescent="0.2">
      <c r="A296" s="9"/>
      <c r="B296" s="9"/>
      <c r="C296" s="7"/>
      <c r="D296" s="8"/>
      <c r="E296" s="13"/>
      <c r="F296" s="13"/>
      <c r="G296" s="13"/>
      <c r="H296" s="9"/>
      <c r="I296" s="9"/>
      <c r="J296" s="161"/>
      <c r="K296" s="162"/>
      <c r="L296" s="161"/>
      <c r="M296" s="7"/>
      <c r="N296" s="7"/>
      <c r="O296" s="9"/>
      <c r="P296" s="224"/>
      <c r="Q296" s="223"/>
      <c r="R296" s="153"/>
      <c r="S296" s="9"/>
      <c r="T296" s="7"/>
      <c r="U296" s="7"/>
      <c r="V296" s="7"/>
      <c r="W296" s="7"/>
      <c r="X296" s="9"/>
      <c r="Y296" s="9"/>
      <c r="Z296" s="9"/>
      <c r="AA296" s="9"/>
      <c r="AB296" s="9"/>
      <c r="AC296" s="7"/>
      <c r="AD296" s="7"/>
      <c r="AE296" s="7"/>
      <c r="AF296" s="7"/>
      <c r="AG296" s="9"/>
      <c r="AH296" s="9"/>
      <c r="AI296" s="9"/>
      <c r="AJ296" s="9"/>
      <c r="AK296" s="9"/>
      <c r="AL296" s="7"/>
      <c r="AM296" s="8"/>
      <c r="AN296" s="7"/>
      <c r="AO296" s="7"/>
      <c r="AP296" s="9"/>
      <c r="AQ296" s="9"/>
      <c r="AR296" s="9"/>
      <c r="AS296" s="9"/>
      <c r="AT296" s="9"/>
      <c r="AU296" s="7"/>
      <c r="AV296" s="8"/>
    </row>
    <row r="297" spans="1:48" x14ac:dyDescent="0.2">
      <c r="A297" s="9"/>
      <c r="B297" s="9"/>
      <c r="C297" s="7"/>
      <c r="D297" s="8"/>
      <c r="E297" s="13"/>
      <c r="F297" s="13"/>
      <c r="G297" s="13"/>
      <c r="H297" s="9"/>
      <c r="I297" s="9"/>
      <c r="J297" s="161"/>
      <c r="K297" s="162"/>
      <c r="L297" s="161"/>
      <c r="M297" s="7"/>
      <c r="N297" s="7"/>
      <c r="O297" s="9"/>
      <c r="P297" s="224"/>
      <c r="Q297" s="223"/>
      <c r="R297" s="153"/>
      <c r="S297" s="9"/>
      <c r="T297" s="7"/>
      <c r="U297" s="7"/>
      <c r="V297" s="7"/>
      <c r="W297" s="7"/>
      <c r="X297" s="9"/>
      <c r="Y297" s="9"/>
      <c r="Z297" s="9"/>
      <c r="AA297" s="9"/>
      <c r="AB297" s="9"/>
      <c r="AC297" s="7"/>
      <c r="AD297" s="7"/>
      <c r="AE297" s="7"/>
      <c r="AF297" s="7"/>
      <c r="AG297" s="9"/>
      <c r="AH297" s="9"/>
      <c r="AI297" s="9"/>
      <c r="AJ297" s="9"/>
      <c r="AK297" s="9"/>
      <c r="AL297" s="7"/>
      <c r="AM297" s="8"/>
      <c r="AN297" s="7"/>
      <c r="AO297" s="7"/>
      <c r="AP297" s="9"/>
      <c r="AQ297" s="9"/>
      <c r="AR297" s="9"/>
      <c r="AS297" s="9"/>
      <c r="AT297" s="9"/>
      <c r="AU297" s="7"/>
      <c r="AV297" s="8"/>
    </row>
    <row r="298" spans="1:48" x14ac:dyDescent="0.2">
      <c r="A298" s="9"/>
      <c r="B298" s="9"/>
      <c r="C298" s="7"/>
      <c r="D298" s="8"/>
      <c r="E298" s="13"/>
      <c r="F298" s="13"/>
      <c r="G298" s="13"/>
      <c r="H298" s="9"/>
      <c r="I298" s="9"/>
      <c r="J298" s="161"/>
      <c r="K298" s="162"/>
      <c r="L298" s="161"/>
      <c r="M298" s="7"/>
      <c r="N298" s="7"/>
      <c r="O298" s="9"/>
      <c r="P298" s="224"/>
      <c r="Q298" s="223"/>
      <c r="R298" s="153"/>
      <c r="S298" s="9"/>
      <c r="T298" s="7"/>
      <c r="U298" s="7"/>
      <c r="V298" s="7"/>
      <c r="W298" s="7"/>
      <c r="X298" s="9"/>
      <c r="Y298" s="9"/>
      <c r="Z298" s="9"/>
      <c r="AA298" s="9"/>
      <c r="AB298" s="9"/>
      <c r="AC298" s="7"/>
      <c r="AD298" s="7"/>
      <c r="AE298" s="7"/>
      <c r="AF298" s="7"/>
      <c r="AG298" s="9"/>
      <c r="AH298" s="9"/>
      <c r="AI298" s="9"/>
      <c r="AJ298" s="9"/>
      <c r="AK298" s="9"/>
      <c r="AL298" s="7"/>
      <c r="AM298" s="8"/>
      <c r="AN298" s="7"/>
      <c r="AO298" s="7"/>
      <c r="AP298" s="9"/>
      <c r="AQ298" s="9"/>
      <c r="AR298" s="9"/>
      <c r="AS298" s="9"/>
      <c r="AT298" s="9"/>
      <c r="AU298" s="7"/>
      <c r="AV298" s="8"/>
    </row>
    <row r="299" spans="1:48" x14ac:dyDescent="0.2">
      <c r="A299" s="9"/>
      <c r="B299" s="9"/>
      <c r="C299" s="7"/>
      <c r="D299" s="8"/>
      <c r="E299" s="13"/>
      <c r="F299" s="13"/>
      <c r="G299" s="13"/>
      <c r="H299" s="9"/>
      <c r="I299" s="9"/>
      <c r="J299" s="161"/>
      <c r="K299" s="162"/>
      <c r="L299" s="161"/>
      <c r="M299" s="7"/>
      <c r="N299" s="7"/>
      <c r="O299" s="9"/>
      <c r="P299" s="224"/>
      <c r="Q299" s="223"/>
      <c r="R299" s="153"/>
      <c r="S299" s="9"/>
      <c r="T299" s="7"/>
      <c r="U299" s="7"/>
      <c r="V299" s="7"/>
      <c r="W299" s="7"/>
      <c r="X299" s="9"/>
      <c r="Y299" s="9"/>
      <c r="Z299" s="9"/>
      <c r="AA299" s="9"/>
      <c r="AB299" s="9"/>
      <c r="AC299" s="7"/>
      <c r="AD299" s="7"/>
      <c r="AE299" s="7"/>
      <c r="AF299" s="7"/>
      <c r="AG299" s="9"/>
      <c r="AH299" s="9"/>
      <c r="AI299" s="9"/>
      <c r="AJ299" s="9"/>
      <c r="AK299" s="9"/>
      <c r="AL299" s="7"/>
      <c r="AM299" s="8"/>
      <c r="AN299" s="7"/>
      <c r="AO299" s="7"/>
      <c r="AP299" s="9"/>
      <c r="AQ299" s="9"/>
      <c r="AR299" s="9"/>
      <c r="AS299" s="9"/>
      <c r="AT299" s="9"/>
      <c r="AU299" s="7"/>
      <c r="AV299" s="8"/>
    </row>
    <row r="300" spans="1:48" x14ac:dyDescent="0.2">
      <c r="A300" s="9"/>
      <c r="B300" s="9"/>
      <c r="C300" s="7"/>
      <c r="D300" s="8"/>
      <c r="E300" s="13"/>
      <c r="F300" s="13"/>
      <c r="G300" s="13"/>
      <c r="H300" s="9"/>
      <c r="I300" s="9"/>
      <c r="J300" s="161"/>
      <c r="K300" s="162"/>
      <c r="L300" s="161"/>
      <c r="M300" s="7"/>
      <c r="N300" s="7"/>
      <c r="O300" s="9"/>
      <c r="P300" s="224"/>
      <c r="Q300" s="223"/>
      <c r="R300" s="153"/>
      <c r="S300" s="9"/>
      <c r="T300" s="7"/>
      <c r="U300" s="7"/>
      <c r="V300" s="7"/>
      <c r="W300" s="7"/>
      <c r="X300" s="9"/>
      <c r="Y300" s="9"/>
      <c r="Z300" s="9"/>
      <c r="AA300" s="9"/>
      <c r="AB300" s="9"/>
      <c r="AC300" s="7"/>
      <c r="AD300" s="7"/>
      <c r="AE300" s="7"/>
      <c r="AF300" s="7"/>
      <c r="AG300" s="9"/>
      <c r="AH300" s="9"/>
      <c r="AI300" s="9"/>
      <c r="AJ300" s="9"/>
      <c r="AK300" s="9"/>
      <c r="AL300" s="7"/>
      <c r="AM300" s="8"/>
      <c r="AN300" s="7"/>
      <c r="AO300" s="7"/>
      <c r="AP300" s="9"/>
      <c r="AQ300" s="9"/>
      <c r="AR300" s="9"/>
      <c r="AS300" s="9"/>
      <c r="AT300" s="9"/>
      <c r="AU300" s="7"/>
      <c r="AV300" s="8"/>
    </row>
    <row r="301" spans="1:48" x14ac:dyDescent="0.2">
      <c r="A301" s="9"/>
      <c r="B301" s="9"/>
      <c r="C301" s="7"/>
      <c r="D301" s="8"/>
      <c r="E301" s="13"/>
      <c r="F301" s="13"/>
      <c r="G301" s="13"/>
      <c r="H301" s="9"/>
      <c r="I301" s="9"/>
      <c r="J301" s="161"/>
      <c r="K301" s="162"/>
      <c r="L301" s="161"/>
      <c r="M301" s="7"/>
      <c r="N301" s="7"/>
      <c r="O301" s="9"/>
      <c r="P301" s="224"/>
      <c r="Q301" s="223"/>
      <c r="R301" s="153"/>
      <c r="S301" s="9"/>
      <c r="T301" s="7"/>
      <c r="U301" s="7"/>
      <c r="V301" s="7"/>
      <c r="W301" s="7"/>
      <c r="X301" s="9"/>
      <c r="Y301" s="9"/>
      <c r="Z301" s="9"/>
      <c r="AA301" s="9"/>
      <c r="AB301" s="9"/>
      <c r="AC301" s="7"/>
      <c r="AD301" s="7"/>
      <c r="AE301" s="7"/>
      <c r="AF301" s="7"/>
      <c r="AG301" s="9"/>
      <c r="AH301" s="9"/>
      <c r="AI301" s="9"/>
      <c r="AJ301" s="9"/>
      <c r="AK301" s="9"/>
      <c r="AL301" s="7"/>
      <c r="AM301" s="8"/>
      <c r="AN301" s="7"/>
      <c r="AO301" s="7"/>
      <c r="AP301" s="9"/>
      <c r="AQ301" s="9"/>
      <c r="AR301" s="9"/>
      <c r="AS301" s="9"/>
      <c r="AT301" s="9"/>
      <c r="AU301" s="7"/>
      <c r="AV301" s="8"/>
    </row>
    <row r="302" spans="1:48" x14ac:dyDescent="0.2">
      <c r="A302" s="9"/>
      <c r="B302" s="9"/>
      <c r="C302" s="7"/>
      <c r="D302" s="8"/>
      <c r="E302" s="13"/>
      <c r="F302" s="13"/>
      <c r="G302" s="13"/>
      <c r="H302" s="9"/>
      <c r="I302" s="9"/>
      <c r="J302" s="161"/>
      <c r="K302" s="162"/>
      <c r="L302" s="161"/>
      <c r="M302" s="7"/>
      <c r="N302" s="7"/>
      <c r="O302" s="9"/>
      <c r="P302" s="224"/>
      <c r="Q302" s="223"/>
      <c r="R302" s="153"/>
      <c r="S302" s="9"/>
      <c r="T302" s="7"/>
      <c r="U302" s="7"/>
      <c r="V302" s="7"/>
      <c r="W302" s="7"/>
      <c r="X302" s="9"/>
      <c r="Y302" s="9"/>
      <c r="Z302" s="9"/>
      <c r="AA302" s="9"/>
      <c r="AB302" s="9"/>
      <c r="AC302" s="7"/>
      <c r="AD302" s="7"/>
      <c r="AE302" s="7"/>
      <c r="AF302" s="7"/>
      <c r="AG302" s="9"/>
      <c r="AH302" s="9"/>
      <c r="AI302" s="9"/>
      <c r="AJ302" s="9"/>
      <c r="AK302" s="9"/>
      <c r="AL302" s="7"/>
      <c r="AM302" s="8"/>
      <c r="AN302" s="7"/>
      <c r="AO302" s="7"/>
      <c r="AP302" s="9"/>
      <c r="AQ302" s="9"/>
      <c r="AR302" s="9"/>
      <c r="AS302" s="9"/>
      <c r="AT302" s="9"/>
      <c r="AU302" s="7"/>
      <c r="AV302" s="8"/>
    </row>
    <row r="303" spans="1:48" x14ac:dyDescent="0.2">
      <c r="A303" s="9"/>
      <c r="B303" s="9"/>
      <c r="C303" s="7"/>
      <c r="D303" s="8"/>
      <c r="E303" s="13"/>
      <c r="F303" s="13"/>
      <c r="G303" s="13"/>
      <c r="H303" s="9"/>
      <c r="I303" s="9"/>
      <c r="J303" s="161"/>
      <c r="K303" s="162"/>
      <c r="L303" s="161"/>
      <c r="M303" s="7"/>
      <c r="N303" s="7"/>
      <c r="O303" s="9"/>
      <c r="P303" s="224"/>
      <c r="Q303" s="223"/>
      <c r="R303" s="153"/>
      <c r="S303" s="9"/>
      <c r="T303" s="7"/>
      <c r="U303" s="7"/>
      <c r="V303" s="7"/>
      <c r="W303" s="7"/>
      <c r="X303" s="9"/>
      <c r="Y303" s="9"/>
      <c r="Z303" s="9"/>
      <c r="AA303" s="9"/>
      <c r="AB303" s="9"/>
      <c r="AC303" s="7"/>
      <c r="AD303" s="7"/>
      <c r="AE303" s="7"/>
      <c r="AF303" s="7"/>
      <c r="AG303" s="9"/>
      <c r="AH303" s="9"/>
      <c r="AI303" s="9"/>
      <c r="AJ303" s="9"/>
      <c r="AK303" s="9"/>
      <c r="AL303" s="7"/>
      <c r="AM303" s="8"/>
      <c r="AN303" s="7"/>
      <c r="AO303" s="7"/>
      <c r="AP303" s="9"/>
      <c r="AQ303" s="9"/>
      <c r="AR303" s="9"/>
      <c r="AS303" s="9"/>
      <c r="AT303" s="9"/>
      <c r="AU303" s="7"/>
      <c r="AV303" s="8"/>
    </row>
    <row r="304" spans="1:48" x14ac:dyDescent="0.2">
      <c r="A304" s="9"/>
      <c r="B304" s="9"/>
      <c r="C304" s="7"/>
      <c r="D304" s="8"/>
      <c r="E304" s="13"/>
      <c r="F304" s="13"/>
      <c r="G304" s="13"/>
      <c r="H304" s="9"/>
      <c r="I304" s="9"/>
      <c r="J304" s="161"/>
      <c r="K304" s="162"/>
      <c r="L304" s="161"/>
      <c r="M304" s="7"/>
      <c r="N304" s="7"/>
      <c r="O304" s="9"/>
      <c r="P304" s="224"/>
      <c r="Q304" s="223"/>
      <c r="R304" s="153"/>
      <c r="S304" s="9"/>
      <c r="T304" s="7"/>
      <c r="U304" s="7"/>
      <c r="V304" s="7"/>
      <c r="W304" s="7"/>
      <c r="X304" s="9"/>
      <c r="Y304" s="9"/>
      <c r="Z304" s="9"/>
      <c r="AA304" s="9"/>
      <c r="AB304" s="9"/>
      <c r="AC304" s="7"/>
      <c r="AD304" s="7"/>
      <c r="AE304" s="7"/>
      <c r="AF304" s="7"/>
      <c r="AG304" s="9"/>
      <c r="AH304" s="9"/>
      <c r="AI304" s="9"/>
      <c r="AJ304" s="9"/>
      <c r="AK304" s="9"/>
      <c r="AL304" s="7"/>
      <c r="AM304" s="8"/>
      <c r="AN304" s="7"/>
      <c r="AO304" s="7"/>
      <c r="AP304" s="9"/>
      <c r="AQ304" s="9"/>
      <c r="AR304" s="9"/>
      <c r="AS304" s="9"/>
      <c r="AT304" s="9"/>
      <c r="AU304" s="7"/>
      <c r="AV304" s="8"/>
    </row>
    <row r="305" spans="1:48" x14ac:dyDescent="0.2">
      <c r="A305" s="9"/>
      <c r="B305" s="9"/>
      <c r="C305" s="7"/>
      <c r="D305" s="8"/>
      <c r="E305" s="13"/>
      <c r="F305" s="13"/>
      <c r="G305" s="13"/>
      <c r="H305" s="9"/>
      <c r="I305" s="9"/>
      <c r="J305" s="161"/>
      <c r="K305" s="162"/>
      <c r="L305" s="161"/>
      <c r="M305" s="7"/>
      <c r="N305" s="7"/>
      <c r="O305" s="9"/>
      <c r="P305" s="224"/>
      <c r="Q305" s="223"/>
      <c r="R305" s="153"/>
      <c r="S305" s="9"/>
      <c r="T305" s="7"/>
      <c r="U305" s="7"/>
      <c r="V305" s="7"/>
      <c r="W305" s="7"/>
      <c r="X305" s="9"/>
      <c r="Y305" s="9"/>
      <c r="Z305" s="9"/>
      <c r="AA305" s="9"/>
      <c r="AB305" s="9"/>
      <c r="AC305" s="7"/>
      <c r="AD305" s="7"/>
      <c r="AE305" s="7"/>
      <c r="AF305" s="7"/>
      <c r="AG305" s="9"/>
      <c r="AH305" s="9"/>
      <c r="AI305" s="9"/>
      <c r="AJ305" s="9"/>
      <c r="AK305" s="9"/>
      <c r="AL305" s="7"/>
      <c r="AM305" s="8"/>
      <c r="AN305" s="7"/>
      <c r="AO305" s="7"/>
      <c r="AP305" s="9"/>
      <c r="AQ305" s="9"/>
      <c r="AR305" s="9"/>
      <c r="AS305" s="9"/>
      <c r="AT305" s="9"/>
      <c r="AU305" s="7"/>
      <c r="AV305" s="8"/>
    </row>
    <row r="306" spans="1:48" x14ac:dyDescent="0.2">
      <c r="A306" s="9"/>
      <c r="B306" s="9"/>
      <c r="C306" s="7"/>
      <c r="D306" s="8"/>
      <c r="E306" s="13"/>
      <c r="F306" s="13"/>
      <c r="G306" s="13"/>
      <c r="H306" s="9"/>
      <c r="I306" s="9"/>
      <c r="J306" s="161"/>
      <c r="K306" s="162"/>
      <c r="L306" s="161"/>
      <c r="M306" s="7"/>
      <c r="N306" s="7"/>
      <c r="O306" s="9"/>
      <c r="P306" s="224"/>
      <c r="Q306" s="223"/>
      <c r="R306" s="153"/>
      <c r="S306" s="9"/>
      <c r="T306" s="7"/>
      <c r="U306" s="7"/>
      <c r="V306" s="7"/>
      <c r="W306" s="7"/>
      <c r="X306" s="9"/>
      <c r="Y306" s="9"/>
      <c r="Z306" s="9"/>
      <c r="AA306" s="9"/>
      <c r="AB306" s="9"/>
      <c r="AC306" s="7"/>
      <c r="AD306" s="7"/>
      <c r="AE306" s="7"/>
      <c r="AF306" s="7"/>
      <c r="AG306" s="9"/>
      <c r="AH306" s="9"/>
      <c r="AI306" s="9"/>
      <c r="AJ306" s="9"/>
      <c r="AK306" s="9"/>
      <c r="AL306" s="7"/>
      <c r="AM306" s="8"/>
      <c r="AN306" s="7"/>
      <c r="AO306" s="7"/>
      <c r="AP306" s="9"/>
      <c r="AQ306" s="9"/>
      <c r="AR306" s="9"/>
      <c r="AS306" s="9"/>
      <c r="AT306" s="9"/>
      <c r="AU306" s="7"/>
      <c r="AV306" s="8"/>
    </row>
    <row r="307" spans="1:48" x14ac:dyDescent="0.2">
      <c r="A307" s="9"/>
      <c r="B307" s="9"/>
      <c r="C307" s="7"/>
      <c r="D307" s="8"/>
      <c r="E307" s="13"/>
      <c r="F307" s="13"/>
      <c r="G307" s="13"/>
      <c r="H307" s="9"/>
      <c r="I307" s="9"/>
      <c r="J307" s="161"/>
      <c r="K307" s="162"/>
      <c r="L307" s="161"/>
      <c r="M307" s="7"/>
      <c r="N307" s="7"/>
      <c r="O307" s="9"/>
      <c r="P307" s="224"/>
      <c r="Q307" s="223"/>
      <c r="R307" s="153"/>
      <c r="S307" s="9"/>
      <c r="T307" s="7"/>
      <c r="U307" s="7"/>
      <c r="V307" s="7"/>
      <c r="W307" s="7"/>
      <c r="X307" s="9"/>
      <c r="Y307" s="9"/>
      <c r="Z307" s="9"/>
      <c r="AA307" s="9"/>
      <c r="AB307" s="9"/>
      <c r="AC307" s="7"/>
      <c r="AD307" s="7"/>
      <c r="AE307" s="7"/>
      <c r="AF307" s="7"/>
      <c r="AG307" s="9"/>
      <c r="AH307" s="9"/>
      <c r="AI307" s="9"/>
      <c r="AJ307" s="9"/>
      <c r="AK307" s="9"/>
      <c r="AL307" s="7"/>
      <c r="AM307" s="8"/>
      <c r="AN307" s="7"/>
      <c r="AO307" s="7"/>
      <c r="AP307" s="9"/>
      <c r="AQ307" s="9"/>
      <c r="AR307" s="9"/>
      <c r="AS307" s="9"/>
      <c r="AT307" s="9"/>
      <c r="AU307" s="7"/>
      <c r="AV307" s="8"/>
    </row>
    <row r="308" spans="1:48" x14ac:dyDescent="0.2">
      <c r="A308" s="9"/>
      <c r="B308" s="9"/>
      <c r="C308" s="7"/>
      <c r="D308" s="8"/>
      <c r="E308" s="13"/>
      <c r="F308" s="13"/>
      <c r="G308" s="13"/>
      <c r="H308" s="9"/>
      <c r="I308" s="9"/>
      <c r="J308" s="161"/>
      <c r="K308" s="162"/>
      <c r="L308" s="161"/>
      <c r="M308" s="7"/>
      <c r="N308" s="7"/>
      <c r="O308" s="9"/>
      <c r="P308" s="224"/>
      <c r="Q308" s="223"/>
      <c r="R308" s="153"/>
      <c r="S308" s="9"/>
      <c r="T308" s="7"/>
      <c r="U308" s="7"/>
      <c r="V308" s="7"/>
      <c r="W308" s="7"/>
      <c r="X308" s="9"/>
      <c r="Y308" s="9"/>
      <c r="Z308" s="9"/>
      <c r="AA308" s="9"/>
      <c r="AB308" s="9"/>
      <c r="AC308" s="7"/>
      <c r="AD308" s="7"/>
      <c r="AE308" s="7"/>
      <c r="AF308" s="7"/>
      <c r="AG308" s="9"/>
      <c r="AH308" s="9"/>
      <c r="AI308" s="9"/>
      <c r="AJ308" s="9"/>
      <c r="AK308" s="9"/>
      <c r="AL308" s="7"/>
      <c r="AM308" s="8"/>
      <c r="AN308" s="7"/>
      <c r="AO308" s="7"/>
      <c r="AP308" s="9"/>
      <c r="AQ308" s="9"/>
      <c r="AR308" s="9"/>
      <c r="AS308" s="9"/>
      <c r="AT308" s="9"/>
      <c r="AU308" s="7"/>
      <c r="AV308" s="8"/>
    </row>
    <row r="309" spans="1:48" x14ac:dyDescent="0.2">
      <c r="A309" s="9"/>
      <c r="B309" s="9"/>
      <c r="C309" s="7"/>
      <c r="D309" s="8"/>
      <c r="E309" s="13"/>
      <c r="F309" s="13"/>
      <c r="G309" s="13"/>
      <c r="H309" s="9"/>
      <c r="I309" s="9"/>
      <c r="J309" s="161"/>
      <c r="K309" s="162"/>
      <c r="L309" s="161"/>
      <c r="M309" s="7"/>
      <c r="N309" s="7"/>
      <c r="O309" s="9"/>
      <c r="P309" s="224"/>
      <c r="Q309" s="223"/>
      <c r="R309" s="153"/>
      <c r="S309" s="9"/>
      <c r="T309" s="7"/>
      <c r="U309" s="7"/>
      <c r="V309" s="7"/>
      <c r="W309" s="7"/>
      <c r="X309" s="9"/>
      <c r="Y309" s="9"/>
      <c r="Z309" s="9"/>
      <c r="AA309" s="9"/>
      <c r="AB309" s="9"/>
      <c r="AC309" s="7"/>
      <c r="AD309" s="7"/>
      <c r="AE309" s="7"/>
      <c r="AF309" s="7"/>
      <c r="AG309" s="9"/>
      <c r="AH309" s="9"/>
      <c r="AI309" s="9"/>
      <c r="AJ309" s="9"/>
      <c r="AK309" s="9"/>
      <c r="AL309" s="7"/>
      <c r="AM309" s="8"/>
      <c r="AN309" s="7"/>
      <c r="AO309" s="7"/>
      <c r="AP309" s="9"/>
      <c r="AQ309" s="9"/>
      <c r="AR309" s="9"/>
      <c r="AS309" s="9"/>
      <c r="AT309" s="9"/>
      <c r="AU309" s="7"/>
      <c r="AV309" s="8"/>
    </row>
    <row r="310" spans="1:48" x14ac:dyDescent="0.2">
      <c r="A310" s="9"/>
      <c r="B310" s="9"/>
      <c r="C310" s="7"/>
      <c r="D310" s="8"/>
      <c r="E310" s="13"/>
      <c r="F310" s="13"/>
      <c r="G310" s="13"/>
      <c r="H310" s="9"/>
      <c r="I310" s="9"/>
      <c r="J310" s="161"/>
      <c r="K310" s="162"/>
      <c r="L310" s="161"/>
      <c r="M310" s="7"/>
      <c r="N310" s="7"/>
      <c r="O310" s="9"/>
      <c r="P310" s="224"/>
      <c r="Q310" s="223"/>
      <c r="R310" s="153"/>
      <c r="S310" s="9"/>
      <c r="T310" s="7"/>
      <c r="U310" s="7"/>
      <c r="V310" s="7"/>
      <c r="W310" s="7"/>
      <c r="X310" s="9"/>
      <c r="Y310" s="9"/>
      <c r="Z310" s="9"/>
      <c r="AA310" s="9"/>
      <c r="AB310" s="9"/>
      <c r="AC310" s="7"/>
      <c r="AD310" s="7"/>
      <c r="AE310" s="7"/>
      <c r="AF310" s="7"/>
      <c r="AG310" s="9"/>
      <c r="AH310" s="9"/>
      <c r="AI310" s="9"/>
      <c r="AJ310" s="9"/>
      <c r="AK310" s="9"/>
      <c r="AL310" s="7"/>
      <c r="AM310" s="8"/>
      <c r="AN310" s="7"/>
      <c r="AO310" s="7"/>
      <c r="AP310" s="9"/>
      <c r="AQ310" s="9"/>
      <c r="AR310" s="9"/>
      <c r="AS310" s="9"/>
      <c r="AT310" s="9"/>
      <c r="AU310" s="7"/>
      <c r="AV310" s="8"/>
    </row>
    <row r="311" spans="1:48" x14ac:dyDescent="0.2">
      <c r="A311" s="9"/>
      <c r="B311" s="9"/>
      <c r="C311" s="7"/>
      <c r="D311" s="8"/>
      <c r="E311" s="13"/>
      <c r="F311" s="13"/>
      <c r="G311" s="13"/>
      <c r="H311" s="9"/>
      <c r="I311" s="9"/>
      <c r="J311" s="161"/>
      <c r="K311" s="162"/>
      <c r="L311" s="161"/>
      <c r="M311" s="7"/>
      <c r="N311" s="7"/>
      <c r="O311" s="9"/>
      <c r="P311" s="224"/>
      <c r="Q311" s="223"/>
      <c r="R311" s="153"/>
      <c r="S311" s="9"/>
      <c r="T311" s="7"/>
      <c r="U311" s="7"/>
      <c r="V311" s="7"/>
      <c r="W311" s="7"/>
      <c r="X311" s="9"/>
      <c r="Y311" s="9"/>
      <c r="Z311" s="9"/>
      <c r="AA311" s="9"/>
      <c r="AB311" s="9"/>
      <c r="AC311" s="7"/>
      <c r="AD311" s="7"/>
      <c r="AE311" s="7"/>
      <c r="AF311" s="7"/>
      <c r="AG311" s="9"/>
      <c r="AH311" s="9"/>
      <c r="AI311" s="9"/>
      <c r="AJ311" s="9"/>
      <c r="AK311" s="9"/>
      <c r="AL311" s="7"/>
      <c r="AM311" s="8"/>
      <c r="AN311" s="7"/>
      <c r="AO311" s="7"/>
      <c r="AP311" s="9"/>
      <c r="AQ311" s="9"/>
      <c r="AR311" s="9"/>
      <c r="AS311" s="9"/>
      <c r="AT311" s="9"/>
      <c r="AU311" s="7"/>
      <c r="AV311" s="8"/>
    </row>
    <row r="312" spans="1:48" x14ac:dyDescent="0.2">
      <c r="A312" s="9"/>
      <c r="B312" s="9"/>
      <c r="C312" s="7"/>
      <c r="D312" s="8"/>
      <c r="E312" s="13"/>
      <c r="F312" s="13"/>
      <c r="G312" s="13"/>
      <c r="H312" s="9"/>
      <c r="I312" s="9"/>
      <c r="J312" s="161"/>
      <c r="K312" s="162"/>
      <c r="L312" s="161"/>
      <c r="M312" s="7"/>
      <c r="N312" s="7"/>
      <c r="O312" s="9"/>
      <c r="P312" s="224"/>
      <c r="Q312" s="223"/>
      <c r="R312" s="153"/>
      <c r="S312" s="9"/>
      <c r="T312" s="7"/>
      <c r="U312" s="7"/>
      <c r="V312" s="7"/>
      <c r="W312" s="7"/>
      <c r="X312" s="9"/>
      <c r="Y312" s="9"/>
      <c r="Z312" s="9"/>
      <c r="AA312" s="9"/>
      <c r="AB312" s="9"/>
      <c r="AC312" s="7"/>
      <c r="AD312" s="7"/>
      <c r="AE312" s="7"/>
      <c r="AF312" s="7"/>
      <c r="AG312" s="9"/>
      <c r="AH312" s="9"/>
      <c r="AI312" s="9"/>
      <c r="AJ312" s="9"/>
      <c r="AK312" s="9"/>
      <c r="AL312" s="7"/>
      <c r="AM312" s="8"/>
      <c r="AN312" s="7"/>
      <c r="AO312" s="7"/>
      <c r="AP312" s="9"/>
      <c r="AQ312" s="9"/>
      <c r="AR312" s="9"/>
      <c r="AS312" s="9"/>
      <c r="AT312" s="9"/>
      <c r="AU312" s="7"/>
      <c r="AV312" s="8"/>
    </row>
    <row r="313" spans="1:48" x14ac:dyDescent="0.2">
      <c r="A313" s="9"/>
      <c r="B313" s="9"/>
      <c r="C313" s="7"/>
      <c r="D313" s="8"/>
      <c r="E313" s="13"/>
      <c r="F313" s="13"/>
      <c r="G313" s="13"/>
      <c r="H313" s="9"/>
      <c r="I313" s="9"/>
      <c r="J313" s="161"/>
      <c r="K313" s="162"/>
      <c r="L313" s="161"/>
      <c r="M313" s="7"/>
      <c r="N313" s="7"/>
      <c r="O313" s="9"/>
      <c r="P313" s="224"/>
      <c r="Q313" s="223"/>
      <c r="R313" s="153"/>
      <c r="S313" s="9"/>
      <c r="T313" s="7"/>
      <c r="U313" s="7"/>
      <c r="V313" s="7"/>
      <c r="W313" s="7"/>
      <c r="X313" s="9"/>
      <c r="Y313" s="9"/>
      <c r="Z313" s="9"/>
      <c r="AA313" s="9"/>
      <c r="AB313" s="9"/>
      <c r="AC313" s="7"/>
      <c r="AD313" s="7"/>
      <c r="AE313" s="7"/>
      <c r="AF313" s="7"/>
      <c r="AG313" s="9"/>
      <c r="AH313" s="9"/>
      <c r="AI313" s="9"/>
      <c r="AJ313" s="9"/>
      <c r="AK313" s="9"/>
      <c r="AL313" s="7"/>
      <c r="AM313" s="8"/>
      <c r="AN313" s="7"/>
      <c r="AO313" s="7"/>
      <c r="AP313" s="9"/>
      <c r="AQ313" s="9"/>
      <c r="AR313" s="9"/>
      <c r="AS313" s="9"/>
      <c r="AT313" s="9"/>
      <c r="AU313" s="7"/>
      <c r="AV313" s="8"/>
    </row>
    <row r="314" spans="1:48" x14ac:dyDescent="0.2">
      <c r="A314" s="9"/>
      <c r="B314" s="9"/>
      <c r="C314" s="7"/>
      <c r="D314" s="8"/>
      <c r="E314" s="13"/>
      <c r="F314" s="13"/>
      <c r="G314" s="13"/>
      <c r="H314" s="9"/>
      <c r="I314" s="9"/>
      <c r="J314" s="161"/>
      <c r="K314" s="162"/>
      <c r="L314" s="161"/>
      <c r="M314" s="7"/>
      <c r="N314" s="7"/>
      <c r="O314" s="9"/>
      <c r="P314" s="224"/>
      <c r="Q314" s="223"/>
      <c r="R314" s="153"/>
      <c r="S314" s="9"/>
      <c r="T314" s="7"/>
      <c r="U314" s="7"/>
      <c r="V314" s="7"/>
      <c r="W314" s="7"/>
      <c r="X314" s="9"/>
      <c r="Y314" s="9"/>
      <c r="Z314" s="9"/>
      <c r="AA314" s="9"/>
      <c r="AB314" s="9"/>
      <c r="AC314" s="7"/>
      <c r="AD314" s="7"/>
      <c r="AE314" s="7"/>
      <c r="AF314" s="7"/>
      <c r="AG314" s="9"/>
      <c r="AH314" s="9"/>
      <c r="AI314" s="9"/>
      <c r="AJ314" s="9"/>
      <c r="AK314" s="9"/>
      <c r="AL314" s="7"/>
      <c r="AM314" s="8"/>
      <c r="AN314" s="7"/>
      <c r="AO314" s="7"/>
      <c r="AP314" s="9"/>
      <c r="AQ314" s="9"/>
      <c r="AR314" s="9"/>
      <c r="AS314" s="9"/>
      <c r="AT314" s="9"/>
      <c r="AU314" s="7"/>
      <c r="AV314" s="8"/>
    </row>
    <row r="315" spans="1:48" x14ac:dyDescent="0.2">
      <c r="A315" s="9"/>
      <c r="B315" s="9"/>
      <c r="C315" s="7"/>
      <c r="D315" s="8"/>
      <c r="E315" s="13"/>
      <c r="F315" s="13"/>
      <c r="G315" s="13"/>
      <c r="H315" s="9"/>
      <c r="I315" s="9"/>
      <c r="J315" s="161"/>
      <c r="K315" s="162"/>
      <c r="L315" s="161"/>
      <c r="M315" s="7"/>
      <c r="N315" s="7"/>
      <c r="O315" s="9"/>
      <c r="P315" s="224"/>
      <c r="Q315" s="223"/>
      <c r="R315" s="153"/>
      <c r="S315" s="9"/>
      <c r="T315" s="7"/>
      <c r="U315" s="7"/>
      <c r="V315" s="7"/>
      <c r="W315" s="7"/>
      <c r="X315" s="9"/>
      <c r="Y315" s="9"/>
      <c r="Z315" s="9"/>
      <c r="AA315" s="9"/>
      <c r="AB315" s="9"/>
      <c r="AC315" s="7"/>
      <c r="AD315" s="7"/>
      <c r="AE315" s="7"/>
      <c r="AF315" s="7"/>
      <c r="AG315" s="9"/>
      <c r="AH315" s="9"/>
      <c r="AI315" s="9"/>
      <c r="AJ315" s="9"/>
      <c r="AK315" s="9"/>
      <c r="AL315" s="7"/>
      <c r="AM315" s="8"/>
      <c r="AN315" s="7"/>
      <c r="AO315" s="7"/>
      <c r="AP315" s="9"/>
      <c r="AQ315" s="9"/>
      <c r="AR315" s="9"/>
      <c r="AS315" s="9"/>
      <c r="AT315" s="9"/>
      <c r="AU315" s="7"/>
      <c r="AV315" s="8"/>
    </row>
    <row r="316" spans="1:48" x14ac:dyDescent="0.2">
      <c r="A316" s="9"/>
      <c r="B316" s="9"/>
      <c r="C316" s="7"/>
      <c r="D316" s="8"/>
      <c r="E316" s="13"/>
      <c r="F316" s="13"/>
      <c r="G316" s="13"/>
      <c r="H316" s="9"/>
      <c r="I316" s="9"/>
      <c r="J316" s="161"/>
      <c r="K316" s="162"/>
      <c r="L316" s="161"/>
      <c r="M316" s="7"/>
      <c r="N316" s="7"/>
      <c r="O316" s="9"/>
      <c r="P316" s="224"/>
      <c r="Q316" s="223"/>
      <c r="R316" s="153"/>
      <c r="S316" s="9"/>
      <c r="T316" s="7"/>
      <c r="U316" s="7"/>
      <c r="V316" s="7"/>
      <c r="W316" s="7"/>
      <c r="X316" s="9"/>
      <c r="Y316" s="9"/>
      <c r="Z316" s="9"/>
      <c r="AA316" s="9"/>
      <c r="AB316" s="9"/>
      <c r="AC316" s="7"/>
      <c r="AD316" s="7"/>
      <c r="AE316" s="7"/>
      <c r="AF316" s="7"/>
      <c r="AG316" s="9"/>
      <c r="AH316" s="9"/>
      <c r="AI316" s="9"/>
      <c r="AJ316" s="9"/>
      <c r="AK316" s="9"/>
      <c r="AL316" s="7"/>
      <c r="AM316" s="8"/>
      <c r="AN316" s="7"/>
      <c r="AO316" s="7"/>
      <c r="AP316" s="9"/>
      <c r="AQ316" s="9"/>
      <c r="AR316" s="9"/>
      <c r="AS316" s="9"/>
      <c r="AT316" s="9"/>
      <c r="AU316" s="7"/>
      <c r="AV316" s="8"/>
    </row>
    <row r="317" spans="1:48" x14ac:dyDescent="0.2">
      <c r="A317" s="9"/>
      <c r="B317" s="9"/>
      <c r="C317" s="7"/>
      <c r="D317" s="8"/>
      <c r="E317" s="13"/>
      <c r="F317" s="13"/>
      <c r="G317" s="13"/>
      <c r="H317" s="9"/>
      <c r="I317" s="9"/>
      <c r="J317" s="161"/>
      <c r="K317" s="162"/>
      <c r="L317" s="161"/>
      <c r="M317" s="7"/>
      <c r="N317" s="7"/>
      <c r="O317" s="9"/>
      <c r="P317" s="224"/>
      <c r="Q317" s="223"/>
      <c r="R317" s="153"/>
      <c r="S317" s="9"/>
      <c r="T317" s="7"/>
      <c r="U317" s="7"/>
      <c r="V317" s="7"/>
      <c r="W317" s="7"/>
      <c r="X317" s="9"/>
      <c r="Y317" s="9"/>
      <c r="Z317" s="9"/>
      <c r="AA317" s="9"/>
      <c r="AB317" s="9"/>
      <c r="AC317" s="7"/>
      <c r="AD317" s="7"/>
      <c r="AE317" s="7"/>
      <c r="AF317" s="7"/>
      <c r="AG317" s="9"/>
      <c r="AH317" s="9"/>
      <c r="AI317" s="9"/>
      <c r="AJ317" s="9"/>
      <c r="AK317" s="9"/>
      <c r="AL317" s="7"/>
      <c r="AM317" s="8"/>
      <c r="AN317" s="7"/>
      <c r="AO317" s="7"/>
      <c r="AP317" s="9"/>
      <c r="AQ317" s="9"/>
      <c r="AR317" s="9"/>
      <c r="AS317" s="9"/>
      <c r="AT317" s="9"/>
      <c r="AU317" s="7"/>
      <c r="AV317" s="8"/>
    </row>
    <row r="318" spans="1:48" x14ac:dyDescent="0.2">
      <c r="A318" s="9"/>
      <c r="B318" s="9"/>
      <c r="C318" s="7"/>
      <c r="D318" s="8"/>
      <c r="E318" s="13"/>
      <c r="F318" s="13"/>
      <c r="G318" s="13"/>
      <c r="H318" s="9"/>
      <c r="I318" s="9"/>
      <c r="J318" s="161"/>
      <c r="K318" s="162"/>
      <c r="L318" s="161"/>
      <c r="M318" s="7"/>
      <c r="N318" s="7"/>
      <c r="O318" s="9"/>
      <c r="P318" s="224"/>
      <c r="Q318" s="223"/>
      <c r="R318" s="153"/>
      <c r="S318" s="9"/>
      <c r="T318" s="7"/>
      <c r="U318" s="7"/>
      <c r="V318" s="7"/>
      <c r="W318" s="7"/>
      <c r="X318" s="9"/>
      <c r="Y318" s="9"/>
      <c r="Z318" s="9"/>
      <c r="AA318" s="9"/>
      <c r="AB318" s="9"/>
      <c r="AC318" s="7"/>
      <c r="AD318" s="7"/>
      <c r="AE318" s="7"/>
      <c r="AF318" s="7"/>
      <c r="AG318" s="9"/>
      <c r="AH318" s="9"/>
      <c r="AI318" s="9"/>
      <c r="AJ318" s="9"/>
      <c r="AK318" s="9"/>
      <c r="AL318" s="7"/>
      <c r="AM318" s="8"/>
      <c r="AN318" s="7"/>
      <c r="AO318" s="7"/>
      <c r="AP318" s="9"/>
      <c r="AQ318" s="9"/>
      <c r="AR318" s="9"/>
      <c r="AS318" s="9"/>
      <c r="AT318" s="9"/>
      <c r="AU318" s="7"/>
      <c r="AV318" s="8"/>
    </row>
    <row r="319" spans="1:48" x14ac:dyDescent="0.2">
      <c r="A319" s="9"/>
      <c r="B319" s="9"/>
      <c r="C319" s="7"/>
      <c r="D319" s="8"/>
      <c r="E319" s="13"/>
      <c r="F319" s="13"/>
      <c r="G319" s="13"/>
      <c r="H319" s="9"/>
      <c r="I319" s="9"/>
      <c r="J319" s="161"/>
      <c r="K319" s="162"/>
      <c r="L319" s="161"/>
      <c r="M319" s="7"/>
      <c r="N319" s="7"/>
      <c r="O319" s="9"/>
      <c r="P319" s="224"/>
      <c r="Q319" s="223"/>
      <c r="R319" s="153"/>
      <c r="S319" s="9"/>
      <c r="T319" s="7"/>
      <c r="U319" s="7"/>
      <c r="V319" s="7"/>
      <c r="W319" s="7"/>
      <c r="X319" s="9"/>
      <c r="Y319" s="9"/>
      <c r="Z319" s="9"/>
      <c r="AA319" s="9"/>
      <c r="AB319" s="9"/>
      <c r="AC319" s="7"/>
      <c r="AD319" s="7"/>
      <c r="AE319" s="7"/>
      <c r="AF319" s="7"/>
      <c r="AG319" s="9"/>
      <c r="AH319" s="9"/>
      <c r="AI319" s="9"/>
      <c r="AJ319" s="9"/>
      <c r="AK319" s="9"/>
      <c r="AL319" s="7"/>
      <c r="AM319" s="8"/>
      <c r="AN319" s="7"/>
      <c r="AO319" s="7"/>
      <c r="AP319" s="9"/>
      <c r="AQ319" s="9"/>
      <c r="AR319" s="9"/>
      <c r="AS319" s="9"/>
      <c r="AT319" s="9"/>
      <c r="AU319" s="7"/>
      <c r="AV319" s="8"/>
    </row>
    <row r="320" spans="1:48" x14ac:dyDescent="0.2">
      <c r="A320" s="9"/>
      <c r="B320" s="9"/>
      <c r="C320" s="7"/>
      <c r="D320" s="8"/>
      <c r="E320" s="13"/>
      <c r="F320" s="13"/>
      <c r="G320" s="13"/>
      <c r="H320" s="9"/>
      <c r="I320" s="9"/>
      <c r="J320" s="161"/>
      <c r="K320" s="162"/>
      <c r="L320" s="161"/>
      <c r="M320" s="7"/>
      <c r="N320" s="7"/>
      <c r="O320" s="9"/>
      <c r="P320" s="224"/>
      <c r="Q320" s="223"/>
      <c r="R320" s="153"/>
      <c r="S320" s="9"/>
      <c r="T320" s="7"/>
      <c r="U320" s="7"/>
      <c r="V320" s="7"/>
      <c r="W320" s="7"/>
      <c r="X320" s="9"/>
      <c r="Y320" s="9"/>
      <c r="Z320" s="9"/>
      <c r="AA320" s="9"/>
      <c r="AB320" s="9"/>
      <c r="AC320" s="7"/>
      <c r="AD320" s="7"/>
      <c r="AE320" s="7"/>
      <c r="AF320" s="7"/>
      <c r="AG320" s="9"/>
      <c r="AH320" s="9"/>
      <c r="AI320" s="9"/>
      <c r="AJ320" s="9"/>
      <c r="AK320" s="9"/>
      <c r="AL320" s="7"/>
      <c r="AM320" s="8"/>
      <c r="AN320" s="7"/>
      <c r="AO320" s="7"/>
      <c r="AP320" s="9"/>
      <c r="AQ320" s="9"/>
      <c r="AR320" s="9"/>
      <c r="AS320" s="9"/>
      <c r="AT320" s="9"/>
      <c r="AU320" s="7"/>
      <c r="AV320" s="8"/>
    </row>
    <row r="321" spans="1:48" x14ac:dyDescent="0.2">
      <c r="A321" s="9"/>
      <c r="B321" s="9"/>
      <c r="C321" s="7"/>
      <c r="D321" s="8"/>
      <c r="E321" s="13"/>
      <c r="F321" s="13"/>
      <c r="G321" s="13"/>
      <c r="H321" s="9"/>
      <c r="I321" s="9"/>
      <c r="J321" s="161"/>
      <c r="K321" s="162"/>
      <c r="L321" s="161"/>
      <c r="M321" s="7"/>
      <c r="N321" s="7"/>
      <c r="O321" s="9"/>
      <c r="P321" s="224"/>
      <c r="Q321" s="223"/>
      <c r="R321" s="153"/>
      <c r="S321" s="9"/>
      <c r="T321" s="7"/>
      <c r="U321" s="7"/>
      <c r="V321" s="7"/>
      <c r="W321" s="7"/>
      <c r="X321" s="9"/>
      <c r="Y321" s="9"/>
      <c r="Z321" s="9"/>
      <c r="AA321" s="9"/>
      <c r="AB321" s="9"/>
      <c r="AC321" s="7"/>
      <c r="AD321" s="7"/>
      <c r="AE321" s="7"/>
      <c r="AF321" s="7"/>
      <c r="AG321" s="9"/>
      <c r="AH321" s="9"/>
      <c r="AI321" s="9"/>
      <c r="AJ321" s="9"/>
      <c r="AK321" s="9"/>
      <c r="AL321" s="7"/>
      <c r="AM321" s="8"/>
      <c r="AN321" s="7"/>
      <c r="AO321" s="7"/>
      <c r="AP321" s="9"/>
      <c r="AQ321" s="9"/>
      <c r="AR321" s="9"/>
      <c r="AS321" s="9"/>
      <c r="AT321" s="9"/>
      <c r="AU321" s="7"/>
      <c r="AV321" s="8"/>
    </row>
    <row r="322" spans="1:48" x14ac:dyDescent="0.2">
      <c r="A322" s="9"/>
      <c r="B322" s="9"/>
      <c r="C322" s="7"/>
      <c r="D322" s="8"/>
      <c r="E322" s="13"/>
      <c r="F322" s="13"/>
      <c r="G322" s="13"/>
      <c r="H322" s="9"/>
      <c r="I322" s="9"/>
      <c r="J322" s="161"/>
      <c r="K322" s="162"/>
      <c r="L322" s="161"/>
      <c r="M322" s="7"/>
      <c r="N322" s="7"/>
      <c r="O322" s="9"/>
      <c r="P322" s="224"/>
      <c r="Q322" s="223"/>
      <c r="R322" s="153"/>
      <c r="S322" s="9"/>
      <c r="T322" s="7"/>
      <c r="U322" s="7"/>
      <c r="V322" s="7"/>
      <c r="W322" s="7"/>
      <c r="X322" s="9"/>
      <c r="Y322" s="9"/>
      <c r="Z322" s="9"/>
      <c r="AA322" s="9"/>
      <c r="AB322" s="9"/>
      <c r="AC322" s="7"/>
      <c r="AD322" s="7"/>
      <c r="AE322" s="7"/>
      <c r="AF322" s="7"/>
      <c r="AG322" s="9"/>
      <c r="AH322" s="9"/>
      <c r="AI322" s="9"/>
      <c r="AJ322" s="9"/>
      <c r="AK322" s="9"/>
      <c r="AL322" s="7"/>
      <c r="AM322" s="8"/>
      <c r="AN322" s="7"/>
      <c r="AO322" s="7"/>
      <c r="AP322" s="9"/>
      <c r="AQ322" s="9"/>
      <c r="AR322" s="9"/>
      <c r="AS322" s="9"/>
      <c r="AT322" s="9"/>
      <c r="AU322" s="7"/>
      <c r="AV322" s="8"/>
    </row>
    <row r="323" spans="1:48" x14ac:dyDescent="0.2">
      <c r="A323" s="9"/>
      <c r="B323" s="9"/>
      <c r="C323" s="7"/>
      <c r="D323" s="8"/>
      <c r="E323" s="13"/>
      <c r="F323" s="13"/>
      <c r="G323" s="13"/>
      <c r="H323" s="9"/>
      <c r="I323" s="9"/>
      <c r="J323" s="161"/>
      <c r="K323" s="162"/>
      <c r="L323" s="161"/>
      <c r="M323" s="7"/>
      <c r="N323" s="7"/>
      <c r="O323" s="9"/>
      <c r="P323" s="224"/>
      <c r="Q323" s="223"/>
      <c r="R323" s="153"/>
      <c r="S323" s="9"/>
      <c r="T323" s="7"/>
      <c r="U323" s="7"/>
      <c r="V323" s="7"/>
      <c r="W323" s="7"/>
      <c r="X323" s="9"/>
      <c r="Y323" s="9"/>
      <c r="Z323" s="9"/>
      <c r="AA323" s="9"/>
      <c r="AB323" s="9"/>
      <c r="AC323" s="7"/>
      <c r="AD323" s="7"/>
      <c r="AE323" s="7"/>
      <c r="AF323" s="7"/>
      <c r="AG323" s="9"/>
      <c r="AH323" s="9"/>
      <c r="AI323" s="9"/>
      <c r="AJ323" s="9"/>
      <c r="AK323" s="9"/>
      <c r="AL323" s="7"/>
      <c r="AM323" s="8"/>
      <c r="AN323" s="7"/>
      <c r="AO323" s="7"/>
      <c r="AP323" s="9"/>
      <c r="AQ323" s="9"/>
      <c r="AR323" s="9"/>
      <c r="AS323" s="9"/>
      <c r="AT323" s="9"/>
      <c r="AU323" s="7"/>
      <c r="AV323" s="8"/>
    </row>
    <row r="324" spans="1:48" x14ac:dyDescent="0.2">
      <c r="A324" s="9"/>
      <c r="B324" s="9"/>
      <c r="C324" s="7"/>
      <c r="D324" s="8"/>
      <c r="E324" s="13"/>
      <c r="F324" s="13"/>
      <c r="G324" s="13"/>
      <c r="H324" s="9"/>
      <c r="I324" s="9"/>
      <c r="J324" s="161"/>
      <c r="K324" s="162"/>
      <c r="L324" s="161"/>
      <c r="M324" s="7"/>
      <c r="N324" s="7"/>
      <c r="O324" s="9"/>
      <c r="P324" s="224"/>
      <c r="Q324" s="223"/>
      <c r="R324" s="153"/>
      <c r="S324" s="9"/>
      <c r="T324" s="7"/>
      <c r="U324" s="7"/>
      <c r="V324" s="7"/>
      <c r="W324" s="7"/>
      <c r="X324" s="9"/>
      <c r="Y324" s="9"/>
      <c r="Z324" s="9"/>
      <c r="AA324" s="9"/>
      <c r="AB324" s="9"/>
      <c r="AC324" s="7"/>
      <c r="AD324" s="7"/>
      <c r="AE324" s="7"/>
      <c r="AF324" s="7"/>
      <c r="AG324" s="9"/>
      <c r="AH324" s="9"/>
      <c r="AI324" s="9"/>
      <c r="AJ324" s="9"/>
      <c r="AK324" s="9"/>
      <c r="AL324" s="7"/>
      <c r="AM324" s="8"/>
      <c r="AN324" s="7"/>
      <c r="AO324" s="7"/>
      <c r="AP324" s="9"/>
      <c r="AQ324" s="9"/>
      <c r="AR324" s="9"/>
      <c r="AS324" s="9"/>
      <c r="AT324" s="9"/>
      <c r="AU324" s="7"/>
      <c r="AV324" s="8"/>
    </row>
    <row r="325" spans="1:48" x14ac:dyDescent="0.2">
      <c r="A325" s="9"/>
      <c r="B325" s="9"/>
      <c r="C325" s="7"/>
      <c r="D325" s="8"/>
      <c r="E325" s="13"/>
      <c r="F325" s="13"/>
      <c r="G325" s="13"/>
      <c r="H325" s="9"/>
      <c r="I325" s="9"/>
      <c r="J325" s="161"/>
      <c r="K325" s="162"/>
      <c r="L325" s="161"/>
      <c r="M325" s="7"/>
      <c r="N325" s="7"/>
      <c r="O325" s="9"/>
      <c r="P325" s="224"/>
      <c r="Q325" s="223"/>
      <c r="R325" s="153"/>
      <c r="S325" s="9"/>
      <c r="T325" s="7"/>
      <c r="U325" s="7"/>
      <c r="V325" s="7"/>
      <c r="W325" s="7"/>
      <c r="X325" s="9"/>
      <c r="Y325" s="9"/>
      <c r="Z325" s="9"/>
      <c r="AA325" s="9"/>
      <c r="AB325" s="9"/>
      <c r="AC325" s="7"/>
      <c r="AD325" s="7"/>
      <c r="AE325" s="7"/>
      <c r="AF325" s="7"/>
      <c r="AG325" s="9"/>
      <c r="AH325" s="9"/>
      <c r="AI325" s="9"/>
      <c r="AJ325" s="9"/>
      <c r="AK325" s="9"/>
      <c r="AL325" s="7"/>
      <c r="AM325" s="8"/>
      <c r="AN325" s="7"/>
      <c r="AO325" s="7"/>
      <c r="AP325" s="9"/>
      <c r="AQ325" s="9"/>
      <c r="AR325" s="9"/>
      <c r="AS325" s="9"/>
      <c r="AT325" s="9"/>
      <c r="AU325" s="7"/>
      <c r="AV325" s="8"/>
    </row>
    <row r="326" spans="1:48" x14ac:dyDescent="0.2">
      <c r="A326" s="9"/>
      <c r="B326" s="9"/>
      <c r="C326" s="7"/>
      <c r="D326" s="8"/>
      <c r="E326" s="13"/>
      <c r="F326" s="13"/>
      <c r="G326" s="13"/>
      <c r="H326" s="9"/>
      <c r="I326" s="9"/>
      <c r="J326" s="161"/>
      <c r="K326" s="162"/>
      <c r="L326" s="161"/>
      <c r="M326" s="7"/>
      <c r="N326" s="7"/>
      <c r="O326" s="9"/>
      <c r="P326" s="224"/>
      <c r="Q326" s="223"/>
      <c r="R326" s="153"/>
      <c r="S326" s="9"/>
      <c r="T326" s="7"/>
      <c r="U326" s="7"/>
      <c r="V326" s="7"/>
      <c r="W326" s="7"/>
      <c r="X326" s="9"/>
      <c r="Y326" s="9"/>
      <c r="Z326" s="9"/>
      <c r="AA326" s="9"/>
      <c r="AB326" s="9"/>
      <c r="AC326" s="7"/>
      <c r="AD326" s="7"/>
      <c r="AE326" s="7"/>
      <c r="AF326" s="7"/>
      <c r="AG326" s="9"/>
      <c r="AH326" s="9"/>
      <c r="AI326" s="9"/>
      <c r="AJ326" s="9"/>
      <c r="AK326" s="9"/>
      <c r="AL326" s="7"/>
      <c r="AM326" s="8"/>
      <c r="AN326" s="7"/>
      <c r="AO326" s="7"/>
      <c r="AP326" s="9"/>
      <c r="AQ326" s="9"/>
      <c r="AR326" s="9"/>
      <c r="AS326" s="9"/>
      <c r="AT326" s="9"/>
      <c r="AU326" s="7"/>
      <c r="AV326" s="8"/>
    </row>
    <row r="327" spans="1:48" x14ac:dyDescent="0.2">
      <c r="A327" s="9"/>
      <c r="B327" s="9"/>
      <c r="C327" s="7"/>
      <c r="D327" s="8"/>
      <c r="E327" s="13"/>
      <c r="F327" s="13"/>
      <c r="G327" s="13"/>
      <c r="H327" s="9"/>
      <c r="I327" s="9"/>
      <c r="J327" s="161"/>
      <c r="K327" s="162"/>
      <c r="L327" s="161"/>
      <c r="M327" s="7"/>
      <c r="N327" s="7"/>
      <c r="O327" s="9"/>
      <c r="P327" s="224"/>
      <c r="Q327" s="223"/>
      <c r="R327" s="153"/>
      <c r="S327" s="9"/>
      <c r="T327" s="7"/>
      <c r="U327" s="7"/>
      <c r="V327" s="7"/>
      <c r="W327" s="7"/>
      <c r="X327" s="9"/>
      <c r="Y327" s="9"/>
      <c r="Z327" s="9"/>
      <c r="AA327" s="9"/>
      <c r="AB327" s="9"/>
      <c r="AC327" s="7"/>
      <c r="AD327" s="7"/>
      <c r="AE327" s="7"/>
      <c r="AF327" s="7"/>
      <c r="AG327" s="9"/>
      <c r="AH327" s="9"/>
      <c r="AI327" s="9"/>
      <c r="AJ327" s="9"/>
      <c r="AK327" s="9"/>
      <c r="AL327" s="7"/>
      <c r="AM327" s="8"/>
      <c r="AN327" s="7"/>
      <c r="AO327" s="7"/>
      <c r="AP327" s="9"/>
      <c r="AQ327" s="9"/>
      <c r="AR327" s="9"/>
      <c r="AS327" s="9"/>
      <c r="AT327" s="9"/>
      <c r="AU327" s="7"/>
      <c r="AV327" s="8"/>
    </row>
    <row r="328" spans="1:48" x14ac:dyDescent="0.2">
      <c r="A328" s="9"/>
      <c r="B328" s="9"/>
      <c r="C328" s="7"/>
      <c r="D328" s="8"/>
      <c r="E328" s="13"/>
      <c r="F328" s="13"/>
      <c r="G328" s="13"/>
      <c r="H328" s="9"/>
      <c r="I328" s="9"/>
      <c r="J328" s="161"/>
      <c r="K328" s="162"/>
      <c r="L328" s="161"/>
      <c r="M328" s="7"/>
      <c r="N328" s="7"/>
      <c r="O328" s="9"/>
      <c r="P328" s="224"/>
      <c r="Q328" s="223"/>
      <c r="R328" s="153"/>
      <c r="S328" s="9"/>
      <c r="T328" s="7"/>
      <c r="U328" s="7"/>
      <c r="V328" s="7"/>
      <c r="W328" s="7"/>
      <c r="X328" s="9"/>
      <c r="Y328" s="9"/>
      <c r="Z328" s="9"/>
      <c r="AA328" s="9"/>
      <c r="AB328" s="9"/>
      <c r="AC328" s="7"/>
      <c r="AD328" s="7"/>
      <c r="AE328" s="7"/>
      <c r="AF328" s="7"/>
      <c r="AG328" s="9"/>
      <c r="AH328" s="9"/>
      <c r="AI328" s="9"/>
      <c r="AJ328" s="9"/>
      <c r="AK328" s="9"/>
      <c r="AL328" s="7"/>
      <c r="AM328" s="8"/>
      <c r="AN328" s="7"/>
      <c r="AO328" s="7"/>
      <c r="AP328" s="9"/>
      <c r="AQ328" s="9"/>
      <c r="AR328" s="9"/>
      <c r="AS328" s="9"/>
      <c r="AT328" s="9"/>
      <c r="AU328" s="7"/>
      <c r="AV328" s="8"/>
    </row>
    <row r="329" spans="1:48" x14ac:dyDescent="0.2">
      <c r="A329" s="9"/>
      <c r="B329" s="9"/>
      <c r="C329" s="7"/>
      <c r="D329" s="8"/>
      <c r="E329" s="13"/>
      <c r="F329" s="13"/>
      <c r="G329" s="13"/>
      <c r="H329" s="9"/>
      <c r="I329" s="9"/>
      <c r="J329" s="161"/>
      <c r="K329" s="162"/>
      <c r="L329" s="161"/>
      <c r="M329" s="7"/>
      <c r="N329" s="7"/>
      <c r="O329" s="9"/>
      <c r="P329" s="224"/>
      <c r="Q329" s="223"/>
      <c r="R329" s="153"/>
      <c r="S329" s="9"/>
      <c r="T329" s="7"/>
      <c r="U329" s="7"/>
      <c r="V329" s="7"/>
      <c r="W329" s="7"/>
      <c r="X329" s="9"/>
      <c r="Y329" s="9"/>
      <c r="Z329" s="9"/>
      <c r="AA329" s="9"/>
      <c r="AB329" s="9"/>
      <c r="AC329" s="7"/>
      <c r="AD329" s="7"/>
      <c r="AE329" s="7"/>
      <c r="AF329" s="7"/>
      <c r="AG329" s="9"/>
      <c r="AH329" s="9"/>
      <c r="AI329" s="9"/>
      <c r="AJ329" s="9"/>
      <c r="AK329" s="9"/>
      <c r="AL329" s="7"/>
      <c r="AM329" s="8"/>
      <c r="AN329" s="7"/>
      <c r="AO329" s="7"/>
      <c r="AP329" s="9"/>
      <c r="AQ329" s="9"/>
      <c r="AR329" s="9"/>
      <c r="AS329" s="9"/>
      <c r="AT329" s="9"/>
      <c r="AU329" s="7"/>
      <c r="AV329" s="8"/>
    </row>
    <row r="330" spans="1:48" x14ac:dyDescent="0.2">
      <c r="A330" s="9"/>
      <c r="B330" s="9"/>
      <c r="C330" s="7"/>
      <c r="D330" s="8"/>
      <c r="E330" s="13"/>
      <c r="F330" s="13"/>
      <c r="G330" s="13"/>
      <c r="H330" s="9"/>
      <c r="I330" s="9"/>
      <c r="J330" s="161"/>
      <c r="K330" s="162"/>
      <c r="L330" s="161"/>
      <c r="M330" s="7"/>
      <c r="N330" s="7"/>
      <c r="O330" s="9"/>
      <c r="P330" s="224"/>
      <c r="Q330" s="223"/>
      <c r="R330" s="153"/>
      <c r="S330" s="9"/>
      <c r="T330" s="7"/>
      <c r="U330" s="7"/>
      <c r="V330" s="7"/>
      <c r="W330" s="7"/>
      <c r="X330" s="9"/>
      <c r="Y330" s="9"/>
      <c r="Z330" s="9"/>
      <c r="AA330" s="9"/>
      <c r="AB330" s="9"/>
      <c r="AC330" s="7"/>
      <c r="AD330" s="7"/>
      <c r="AE330" s="7"/>
      <c r="AF330" s="7"/>
      <c r="AG330" s="9"/>
      <c r="AH330" s="9"/>
      <c r="AI330" s="9"/>
      <c r="AJ330" s="9"/>
      <c r="AK330" s="9"/>
      <c r="AL330" s="7"/>
      <c r="AM330" s="8"/>
      <c r="AN330" s="7"/>
      <c r="AO330" s="7"/>
      <c r="AP330" s="9"/>
      <c r="AQ330" s="9"/>
      <c r="AR330" s="9"/>
      <c r="AS330" s="9"/>
      <c r="AT330" s="9"/>
      <c r="AU330" s="7"/>
      <c r="AV330" s="8"/>
    </row>
    <row r="331" spans="1:48" x14ac:dyDescent="0.2">
      <c r="A331" s="9"/>
      <c r="B331" s="9"/>
      <c r="C331" s="7"/>
      <c r="D331" s="8"/>
      <c r="E331" s="13"/>
      <c r="F331" s="13"/>
      <c r="G331" s="13"/>
      <c r="H331" s="9"/>
      <c r="I331" s="9"/>
      <c r="J331" s="161"/>
      <c r="K331" s="162"/>
      <c r="L331" s="161"/>
      <c r="M331" s="7"/>
      <c r="N331" s="7"/>
      <c r="O331" s="9"/>
      <c r="P331" s="224"/>
      <c r="Q331" s="223"/>
      <c r="R331" s="153"/>
      <c r="S331" s="9"/>
      <c r="T331" s="7"/>
      <c r="U331" s="7"/>
      <c r="V331" s="7"/>
      <c r="W331" s="7"/>
      <c r="X331" s="9"/>
      <c r="Y331" s="9"/>
      <c r="Z331" s="9"/>
      <c r="AA331" s="9"/>
      <c r="AB331" s="9"/>
      <c r="AC331" s="7"/>
      <c r="AD331" s="7"/>
      <c r="AE331" s="7"/>
      <c r="AF331" s="7"/>
      <c r="AG331" s="9"/>
      <c r="AH331" s="9"/>
      <c r="AI331" s="9"/>
      <c r="AJ331" s="9"/>
      <c r="AK331" s="9"/>
      <c r="AL331" s="7"/>
      <c r="AM331" s="8"/>
      <c r="AN331" s="7"/>
      <c r="AO331" s="7"/>
      <c r="AP331" s="9"/>
      <c r="AQ331" s="9"/>
      <c r="AR331" s="9"/>
      <c r="AS331" s="9"/>
      <c r="AT331" s="9"/>
      <c r="AU331" s="7"/>
      <c r="AV331" s="8"/>
    </row>
    <row r="332" spans="1:48" x14ac:dyDescent="0.2">
      <c r="A332" s="9"/>
      <c r="B332" s="9"/>
      <c r="C332" s="7"/>
      <c r="D332" s="8"/>
      <c r="E332" s="13"/>
      <c r="F332" s="13"/>
      <c r="G332" s="13"/>
      <c r="H332" s="9"/>
      <c r="I332" s="9"/>
      <c r="J332" s="161"/>
      <c r="K332" s="162"/>
      <c r="L332" s="161"/>
      <c r="M332" s="7"/>
      <c r="N332" s="7"/>
      <c r="O332" s="9"/>
      <c r="P332" s="224"/>
      <c r="Q332" s="223"/>
      <c r="R332" s="153"/>
      <c r="S332" s="9"/>
      <c r="T332" s="7"/>
      <c r="U332" s="7"/>
      <c r="V332" s="7"/>
      <c r="W332" s="7"/>
      <c r="X332" s="9"/>
      <c r="Y332" s="9"/>
      <c r="Z332" s="9"/>
      <c r="AA332" s="9"/>
      <c r="AB332" s="9"/>
      <c r="AC332" s="7"/>
      <c r="AD332" s="7"/>
      <c r="AE332" s="7"/>
      <c r="AF332" s="7"/>
      <c r="AG332" s="9"/>
      <c r="AH332" s="9"/>
      <c r="AI332" s="9"/>
      <c r="AJ332" s="9"/>
      <c r="AK332" s="9"/>
      <c r="AL332" s="7"/>
      <c r="AM332" s="8"/>
      <c r="AN332" s="7"/>
      <c r="AO332" s="7"/>
      <c r="AP332" s="9"/>
      <c r="AQ332" s="9"/>
      <c r="AR332" s="9"/>
      <c r="AS332" s="9"/>
      <c r="AT332" s="9"/>
      <c r="AU332" s="7"/>
      <c r="AV332" s="8"/>
    </row>
    <row r="333" spans="1:48" x14ac:dyDescent="0.2">
      <c r="A333" s="9"/>
      <c r="B333" s="9"/>
      <c r="C333" s="7"/>
      <c r="D333" s="8"/>
      <c r="E333" s="13"/>
      <c r="F333" s="13"/>
      <c r="G333" s="13"/>
      <c r="H333" s="9"/>
      <c r="I333" s="9"/>
      <c r="J333" s="161"/>
      <c r="K333" s="162"/>
      <c r="L333" s="161"/>
      <c r="M333" s="7"/>
      <c r="N333" s="7"/>
      <c r="O333" s="9"/>
      <c r="P333" s="224"/>
      <c r="Q333" s="223"/>
      <c r="R333" s="153"/>
      <c r="S333" s="9"/>
      <c r="T333" s="7"/>
      <c r="U333" s="7"/>
      <c r="V333" s="7"/>
      <c r="W333" s="7"/>
      <c r="X333" s="9"/>
      <c r="Y333" s="9"/>
      <c r="Z333" s="9"/>
      <c r="AA333" s="9"/>
      <c r="AB333" s="9"/>
      <c r="AC333" s="7"/>
      <c r="AD333" s="7"/>
      <c r="AE333" s="7"/>
      <c r="AF333" s="7"/>
      <c r="AG333" s="9"/>
      <c r="AH333" s="9"/>
      <c r="AI333" s="9"/>
      <c r="AJ333" s="9"/>
      <c r="AK333" s="9"/>
      <c r="AL333" s="7"/>
      <c r="AM333" s="8"/>
      <c r="AN333" s="7"/>
      <c r="AO333" s="7"/>
      <c r="AP333" s="9"/>
      <c r="AQ333" s="9"/>
      <c r="AR333" s="9"/>
      <c r="AS333" s="9"/>
      <c r="AT333" s="9"/>
      <c r="AU333" s="7"/>
      <c r="AV333" s="8"/>
    </row>
    <row r="334" spans="1:48" x14ac:dyDescent="0.2">
      <c r="A334" s="9"/>
      <c r="B334" s="9"/>
      <c r="C334" s="7"/>
      <c r="D334" s="8"/>
      <c r="E334" s="13"/>
      <c r="F334" s="13"/>
      <c r="G334" s="13"/>
      <c r="H334" s="9"/>
      <c r="I334" s="9"/>
      <c r="J334" s="161"/>
      <c r="K334" s="162"/>
      <c r="L334" s="161"/>
      <c r="M334" s="7"/>
      <c r="N334" s="7"/>
      <c r="O334" s="9"/>
      <c r="P334" s="224"/>
      <c r="Q334" s="223"/>
      <c r="R334" s="153"/>
      <c r="S334" s="9"/>
      <c r="T334" s="7"/>
      <c r="U334" s="7"/>
      <c r="V334" s="7"/>
      <c r="W334" s="7"/>
      <c r="X334" s="9"/>
      <c r="Y334" s="9"/>
      <c r="Z334" s="9"/>
      <c r="AA334" s="9"/>
      <c r="AB334" s="9"/>
      <c r="AC334" s="7"/>
      <c r="AD334" s="7"/>
      <c r="AE334" s="7"/>
      <c r="AF334" s="7"/>
      <c r="AG334" s="9"/>
      <c r="AH334" s="9"/>
      <c r="AI334" s="9"/>
      <c r="AJ334" s="9"/>
      <c r="AK334" s="9"/>
      <c r="AL334" s="7"/>
      <c r="AM334" s="8"/>
      <c r="AN334" s="7"/>
      <c r="AO334" s="7"/>
      <c r="AP334" s="9"/>
      <c r="AQ334" s="9"/>
      <c r="AR334" s="9"/>
      <c r="AS334" s="9"/>
      <c r="AT334" s="9"/>
      <c r="AU334" s="7"/>
      <c r="AV334" s="8"/>
    </row>
    <row r="335" spans="1:48" x14ac:dyDescent="0.2">
      <c r="A335" s="9"/>
      <c r="B335" s="9"/>
      <c r="C335" s="7"/>
      <c r="D335" s="8"/>
      <c r="E335" s="13"/>
      <c r="F335" s="13"/>
      <c r="G335" s="13"/>
      <c r="H335" s="9"/>
      <c r="I335" s="9"/>
      <c r="J335" s="161"/>
      <c r="K335" s="162"/>
      <c r="L335" s="161"/>
      <c r="M335" s="7"/>
      <c r="N335" s="7"/>
      <c r="O335" s="9"/>
      <c r="P335" s="224"/>
      <c r="Q335" s="223"/>
      <c r="R335" s="153"/>
      <c r="S335" s="9"/>
      <c r="T335" s="7"/>
      <c r="U335" s="7"/>
      <c r="V335" s="7"/>
      <c r="W335" s="7"/>
      <c r="X335" s="9"/>
      <c r="Y335" s="9"/>
      <c r="Z335" s="9"/>
      <c r="AA335" s="9"/>
      <c r="AB335" s="9"/>
      <c r="AC335" s="7"/>
      <c r="AD335" s="7"/>
      <c r="AE335" s="7"/>
      <c r="AF335" s="7"/>
      <c r="AG335" s="9"/>
      <c r="AH335" s="9"/>
      <c r="AI335" s="9"/>
      <c r="AJ335" s="9"/>
      <c r="AK335" s="9"/>
      <c r="AL335" s="7"/>
      <c r="AM335" s="8"/>
      <c r="AN335" s="7"/>
      <c r="AO335" s="7"/>
      <c r="AP335" s="9"/>
      <c r="AQ335" s="9"/>
      <c r="AR335" s="9"/>
      <c r="AS335" s="9"/>
      <c r="AT335" s="9"/>
      <c r="AU335" s="7"/>
      <c r="AV335" s="8"/>
    </row>
    <row r="336" spans="1:48" x14ac:dyDescent="0.2">
      <c r="A336" s="9"/>
      <c r="B336" s="9"/>
      <c r="C336" s="7"/>
      <c r="D336" s="8"/>
      <c r="E336" s="13"/>
      <c r="F336" s="13"/>
      <c r="G336" s="13"/>
      <c r="H336" s="9"/>
      <c r="I336" s="9"/>
      <c r="J336" s="161"/>
      <c r="K336" s="162"/>
      <c r="L336" s="161"/>
      <c r="M336" s="7"/>
      <c r="N336" s="7"/>
      <c r="O336" s="9"/>
      <c r="P336" s="224"/>
      <c r="Q336" s="223"/>
      <c r="R336" s="153"/>
      <c r="S336" s="9"/>
      <c r="T336" s="7"/>
      <c r="U336" s="7"/>
      <c r="V336" s="7"/>
      <c r="W336" s="7"/>
      <c r="X336" s="9"/>
      <c r="Y336" s="9"/>
      <c r="Z336" s="9"/>
      <c r="AA336" s="9"/>
      <c r="AB336" s="9"/>
      <c r="AC336" s="7"/>
      <c r="AD336" s="7"/>
      <c r="AE336" s="7"/>
      <c r="AF336" s="7"/>
      <c r="AG336" s="9"/>
      <c r="AH336" s="9"/>
      <c r="AI336" s="9"/>
      <c r="AJ336" s="9"/>
      <c r="AK336" s="9"/>
      <c r="AL336" s="7"/>
      <c r="AM336" s="8"/>
      <c r="AN336" s="7"/>
      <c r="AO336" s="7"/>
      <c r="AP336" s="9"/>
      <c r="AQ336" s="9"/>
      <c r="AR336" s="9"/>
      <c r="AS336" s="9"/>
      <c r="AT336" s="9"/>
      <c r="AU336" s="7"/>
      <c r="AV336" s="8"/>
    </row>
    <row r="337" spans="1:48" x14ac:dyDescent="0.2">
      <c r="A337" s="9"/>
      <c r="B337" s="9"/>
      <c r="C337" s="7"/>
      <c r="D337" s="8"/>
      <c r="E337" s="13"/>
      <c r="F337" s="13"/>
      <c r="G337" s="13"/>
      <c r="H337" s="9"/>
      <c r="I337" s="9"/>
      <c r="J337" s="161"/>
      <c r="K337" s="162"/>
      <c r="L337" s="161"/>
      <c r="M337" s="7"/>
      <c r="N337" s="7"/>
      <c r="O337" s="9"/>
      <c r="P337" s="224"/>
      <c r="Q337" s="223"/>
      <c r="R337" s="153"/>
      <c r="S337" s="9"/>
      <c r="T337" s="7"/>
      <c r="U337" s="7"/>
      <c r="V337" s="7"/>
      <c r="W337" s="7"/>
      <c r="X337" s="9"/>
      <c r="Y337" s="9"/>
      <c r="Z337" s="9"/>
      <c r="AA337" s="9"/>
      <c r="AB337" s="9"/>
      <c r="AC337" s="7"/>
      <c r="AD337" s="7"/>
      <c r="AE337" s="7"/>
      <c r="AF337" s="7"/>
      <c r="AG337" s="9"/>
      <c r="AH337" s="9"/>
      <c r="AI337" s="9"/>
      <c r="AJ337" s="9"/>
      <c r="AK337" s="9"/>
      <c r="AL337" s="7"/>
      <c r="AM337" s="8"/>
      <c r="AN337" s="7"/>
      <c r="AO337" s="7"/>
      <c r="AP337" s="9"/>
      <c r="AQ337" s="9"/>
      <c r="AR337" s="9"/>
      <c r="AS337" s="9"/>
      <c r="AT337" s="9"/>
      <c r="AU337" s="7"/>
      <c r="AV337" s="8"/>
    </row>
    <row r="338" spans="1:48" x14ac:dyDescent="0.2">
      <c r="A338" s="9"/>
      <c r="B338" s="9"/>
      <c r="C338" s="7"/>
      <c r="D338" s="8"/>
      <c r="E338" s="13"/>
      <c r="F338" s="13"/>
      <c r="G338" s="13"/>
      <c r="H338" s="9"/>
      <c r="I338" s="9"/>
      <c r="J338" s="161"/>
      <c r="K338" s="162"/>
      <c r="L338" s="161"/>
      <c r="M338" s="7"/>
      <c r="N338" s="7"/>
      <c r="O338" s="9"/>
      <c r="P338" s="224"/>
      <c r="Q338" s="223"/>
      <c r="R338" s="153"/>
      <c r="S338" s="9"/>
      <c r="T338" s="7"/>
      <c r="U338" s="7"/>
      <c r="V338" s="7"/>
      <c r="W338" s="7"/>
      <c r="X338" s="9"/>
      <c r="Y338" s="9"/>
      <c r="Z338" s="9"/>
      <c r="AA338" s="9"/>
      <c r="AB338" s="9"/>
      <c r="AC338" s="7"/>
      <c r="AD338" s="7"/>
      <c r="AE338" s="7"/>
      <c r="AF338" s="7"/>
      <c r="AG338" s="9"/>
      <c r="AH338" s="9"/>
      <c r="AI338" s="9"/>
      <c r="AJ338" s="9"/>
      <c r="AK338" s="9"/>
      <c r="AL338" s="7"/>
      <c r="AM338" s="8"/>
      <c r="AN338" s="7"/>
      <c r="AO338" s="7"/>
      <c r="AP338" s="9"/>
      <c r="AQ338" s="9"/>
      <c r="AR338" s="9"/>
      <c r="AS338" s="9"/>
      <c r="AT338" s="9"/>
      <c r="AU338" s="7"/>
      <c r="AV338" s="8"/>
    </row>
    <row r="339" spans="1:48" x14ac:dyDescent="0.2">
      <c r="A339" s="9"/>
      <c r="B339" s="9"/>
      <c r="C339" s="7"/>
      <c r="D339" s="8"/>
      <c r="E339" s="13"/>
      <c r="F339" s="13"/>
      <c r="G339" s="13"/>
      <c r="H339" s="9"/>
      <c r="I339" s="9"/>
      <c r="J339" s="161"/>
      <c r="K339" s="162"/>
      <c r="L339" s="161"/>
      <c r="M339" s="7"/>
      <c r="N339" s="7"/>
      <c r="O339" s="9"/>
      <c r="P339" s="224"/>
      <c r="Q339" s="223"/>
      <c r="R339" s="153"/>
      <c r="S339" s="9"/>
      <c r="T339" s="7"/>
      <c r="U339" s="7"/>
      <c r="V339" s="7"/>
      <c r="W339" s="7"/>
      <c r="X339" s="9"/>
      <c r="Y339" s="9"/>
      <c r="Z339" s="9"/>
      <c r="AA339" s="9"/>
      <c r="AB339" s="9"/>
      <c r="AC339" s="7"/>
      <c r="AD339" s="7"/>
      <c r="AE339" s="7"/>
      <c r="AF339" s="7"/>
      <c r="AG339" s="9"/>
      <c r="AH339" s="9"/>
      <c r="AI339" s="9"/>
      <c r="AJ339" s="9"/>
      <c r="AK339" s="9"/>
      <c r="AL339" s="7"/>
      <c r="AM339" s="8"/>
      <c r="AN339" s="7"/>
      <c r="AO339" s="7"/>
      <c r="AP339" s="9"/>
      <c r="AQ339" s="9"/>
      <c r="AR339" s="9"/>
      <c r="AS339" s="9"/>
      <c r="AT339" s="9"/>
      <c r="AU339" s="7"/>
      <c r="AV339" s="8"/>
    </row>
    <row r="340" spans="1:48" x14ac:dyDescent="0.2">
      <c r="A340" s="9"/>
      <c r="B340" s="9"/>
      <c r="C340" s="7"/>
      <c r="D340" s="8"/>
      <c r="E340" s="13"/>
      <c r="F340" s="13"/>
      <c r="G340" s="13"/>
      <c r="H340" s="9"/>
      <c r="I340" s="9"/>
      <c r="J340" s="161"/>
      <c r="K340" s="162"/>
      <c r="L340" s="161"/>
      <c r="M340" s="7"/>
      <c r="N340" s="7"/>
      <c r="O340" s="9"/>
      <c r="P340" s="224"/>
      <c r="Q340" s="223"/>
      <c r="R340" s="153"/>
      <c r="S340" s="9"/>
      <c r="T340" s="7"/>
      <c r="U340" s="7"/>
      <c r="V340" s="7"/>
      <c r="W340" s="7"/>
      <c r="X340" s="9"/>
      <c r="Y340" s="9"/>
      <c r="Z340" s="9"/>
      <c r="AA340" s="9"/>
      <c r="AB340" s="9"/>
      <c r="AC340" s="7"/>
      <c r="AD340" s="7"/>
      <c r="AE340" s="7"/>
      <c r="AF340" s="7"/>
      <c r="AG340" s="9"/>
      <c r="AH340" s="9"/>
      <c r="AI340" s="9"/>
      <c r="AJ340" s="9"/>
      <c r="AK340" s="9"/>
      <c r="AL340" s="7"/>
      <c r="AM340" s="8"/>
      <c r="AN340" s="7"/>
      <c r="AO340" s="7"/>
      <c r="AP340" s="9"/>
      <c r="AQ340" s="9"/>
      <c r="AR340" s="9"/>
      <c r="AS340" s="9"/>
      <c r="AT340" s="9"/>
      <c r="AU340" s="7"/>
      <c r="AV340" s="8"/>
    </row>
    <row r="341" spans="1:48" x14ac:dyDescent="0.2">
      <c r="A341" s="9"/>
      <c r="B341" s="9"/>
      <c r="C341" s="7"/>
      <c r="D341" s="8"/>
      <c r="E341" s="13"/>
      <c r="F341" s="13"/>
      <c r="G341" s="13"/>
      <c r="H341" s="9"/>
      <c r="I341" s="9"/>
      <c r="J341" s="161"/>
      <c r="K341" s="162"/>
      <c r="L341" s="161"/>
      <c r="M341" s="7"/>
      <c r="N341" s="7"/>
      <c r="O341" s="9"/>
      <c r="P341" s="224"/>
      <c r="Q341" s="223"/>
      <c r="R341" s="153"/>
      <c r="S341" s="9"/>
      <c r="T341" s="7"/>
      <c r="U341" s="7"/>
      <c r="V341" s="7"/>
      <c r="W341" s="7"/>
      <c r="X341" s="9"/>
      <c r="Y341" s="9"/>
      <c r="Z341" s="9"/>
      <c r="AA341" s="9"/>
      <c r="AB341" s="9"/>
      <c r="AC341" s="7"/>
      <c r="AD341" s="7"/>
      <c r="AE341" s="7"/>
      <c r="AF341" s="7"/>
      <c r="AG341" s="9"/>
      <c r="AH341" s="9"/>
      <c r="AI341" s="9"/>
      <c r="AJ341" s="9"/>
      <c r="AK341" s="9"/>
      <c r="AL341" s="7"/>
      <c r="AM341" s="8"/>
      <c r="AN341" s="7"/>
      <c r="AO341" s="7"/>
      <c r="AP341" s="9"/>
      <c r="AQ341" s="9"/>
      <c r="AR341" s="9"/>
      <c r="AS341" s="9"/>
      <c r="AT341" s="9"/>
      <c r="AU341" s="7"/>
      <c r="AV341" s="8"/>
    </row>
    <row r="342" spans="1:48" x14ac:dyDescent="0.2">
      <c r="A342" s="9"/>
      <c r="B342" s="9"/>
      <c r="C342" s="7"/>
      <c r="D342" s="8"/>
      <c r="E342" s="13"/>
      <c r="F342" s="13"/>
      <c r="G342" s="13"/>
      <c r="H342" s="9"/>
      <c r="I342" s="9"/>
      <c r="J342" s="161"/>
      <c r="K342" s="162"/>
      <c r="L342" s="161"/>
      <c r="M342" s="7"/>
      <c r="N342" s="7"/>
      <c r="O342" s="9"/>
      <c r="P342" s="224"/>
      <c r="Q342" s="223"/>
      <c r="R342" s="153"/>
      <c r="S342" s="9"/>
      <c r="T342" s="7"/>
      <c r="U342" s="7"/>
      <c r="V342" s="7"/>
      <c r="W342" s="7"/>
      <c r="X342" s="9"/>
      <c r="Y342" s="9"/>
      <c r="Z342" s="9"/>
      <c r="AA342" s="9"/>
      <c r="AB342" s="9"/>
      <c r="AC342" s="7"/>
      <c r="AD342" s="7"/>
      <c r="AE342" s="7"/>
      <c r="AF342" s="7"/>
      <c r="AG342" s="9"/>
      <c r="AH342" s="9"/>
      <c r="AI342" s="9"/>
      <c r="AJ342" s="9"/>
      <c r="AK342" s="9"/>
      <c r="AL342" s="7"/>
      <c r="AM342" s="8"/>
      <c r="AN342" s="7"/>
      <c r="AO342" s="7"/>
      <c r="AP342" s="9"/>
      <c r="AQ342" s="9"/>
      <c r="AR342" s="9"/>
      <c r="AS342" s="9"/>
      <c r="AT342" s="9"/>
      <c r="AU342" s="7"/>
      <c r="AV342" s="8"/>
    </row>
    <row r="343" spans="1:48" x14ac:dyDescent="0.2">
      <c r="A343" s="9"/>
      <c r="B343" s="9"/>
      <c r="C343" s="7"/>
      <c r="D343" s="8"/>
      <c r="E343" s="13"/>
      <c r="F343" s="13"/>
      <c r="G343" s="13"/>
      <c r="H343" s="9"/>
      <c r="I343" s="9"/>
      <c r="J343" s="161"/>
      <c r="K343" s="162"/>
      <c r="L343" s="161"/>
      <c r="M343" s="7"/>
      <c r="N343" s="7"/>
      <c r="O343" s="9"/>
      <c r="P343" s="224"/>
      <c r="Q343" s="223"/>
      <c r="R343" s="153"/>
      <c r="S343" s="9"/>
      <c r="T343" s="7"/>
      <c r="U343" s="7"/>
      <c r="V343" s="7"/>
      <c r="W343" s="7"/>
      <c r="X343" s="9"/>
      <c r="Y343" s="9"/>
      <c r="Z343" s="9"/>
      <c r="AA343" s="9"/>
      <c r="AB343" s="9"/>
      <c r="AC343" s="7"/>
      <c r="AD343" s="7"/>
      <c r="AE343" s="7"/>
      <c r="AF343" s="7"/>
      <c r="AG343" s="9"/>
      <c r="AH343" s="9"/>
      <c r="AI343" s="9"/>
      <c r="AJ343" s="9"/>
      <c r="AK343" s="9"/>
      <c r="AL343" s="7"/>
      <c r="AM343" s="8"/>
      <c r="AN343" s="7"/>
      <c r="AO343" s="7"/>
      <c r="AP343" s="9"/>
      <c r="AQ343" s="9"/>
      <c r="AR343" s="9"/>
      <c r="AS343" s="9"/>
      <c r="AT343" s="9"/>
      <c r="AU343" s="7"/>
      <c r="AV343" s="8"/>
    </row>
    <row r="344" spans="1:48" x14ac:dyDescent="0.2">
      <c r="A344" s="9"/>
      <c r="B344" s="9"/>
      <c r="C344" s="7"/>
      <c r="D344" s="8"/>
      <c r="E344" s="13"/>
      <c r="F344" s="13"/>
      <c r="G344" s="13"/>
      <c r="H344" s="9"/>
      <c r="I344" s="9"/>
      <c r="J344" s="161"/>
      <c r="K344" s="162"/>
      <c r="L344" s="161"/>
      <c r="M344" s="7"/>
      <c r="N344" s="7"/>
      <c r="O344" s="9"/>
      <c r="P344" s="224"/>
      <c r="Q344" s="223"/>
      <c r="R344" s="153"/>
      <c r="S344" s="9"/>
      <c r="T344" s="7"/>
      <c r="U344" s="7"/>
      <c r="V344" s="7"/>
      <c r="W344" s="7"/>
      <c r="X344" s="9"/>
      <c r="Y344" s="9"/>
      <c r="Z344" s="9"/>
      <c r="AA344" s="9"/>
      <c r="AB344" s="9"/>
      <c r="AC344" s="7"/>
      <c r="AD344" s="7"/>
      <c r="AE344" s="7"/>
      <c r="AF344" s="7"/>
      <c r="AG344" s="9"/>
      <c r="AH344" s="9"/>
      <c r="AI344" s="9"/>
      <c r="AJ344" s="9"/>
      <c r="AK344" s="9"/>
      <c r="AL344" s="7"/>
      <c r="AM344" s="8"/>
      <c r="AN344" s="7"/>
      <c r="AO344" s="7"/>
      <c r="AP344" s="9"/>
      <c r="AQ344" s="9"/>
      <c r="AR344" s="9"/>
      <c r="AS344" s="9"/>
      <c r="AT344" s="9"/>
      <c r="AU344" s="7"/>
      <c r="AV344" s="8"/>
    </row>
    <row r="345" spans="1:48" x14ac:dyDescent="0.2">
      <c r="A345" s="9"/>
      <c r="B345" s="9"/>
      <c r="C345" s="7"/>
      <c r="D345" s="8"/>
      <c r="E345" s="13"/>
      <c r="F345" s="13"/>
      <c r="G345" s="13"/>
      <c r="H345" s="9"/>
      <c r="I345" s="9"/>
      <c r="J345" s="161"/>
      <c r="K345" s="162"/>
      <c r="L345" s="161"/>
      <c r="M345" s="7"/>
      <c r="N345" s="7"/>
      <c r="O345" s="9"/>
      <c r="P345" s="224"/>
      <c r="Q345" s="223"/>
      <c r="R345" s="153"/>
      <c r="S345" s="9"/>
      <c r="T345" s="7"/>
      <c r="U345" s="7"/>
      <c r="V345" s="7"/>
      <c r="W345" s="7"/>
      <c r="X345" s="9"/>
      <c r="Y345" s="9"/>
      <c r="Z345" s="9"/>
      <c r="AA345" s="9"/>
      <c r="AB345" s="9"/>
      <c r="AC345" s="7"/>
      <c r="AD345" s="7"/>
      <c r="AE345" s="7"/>
      <c r="AF345" s="7"/>
      <c r="AG345" s="9"/>
      <c r="AH345" s="9"/>
      <c r="AI345" s="9"/>
      <c r="AJ345" s="9"/>
      <c r="AK345" s="9"/>
      <c r="AL345" s="7"/>
      <c r="AM345" s="8"/>
      <c r="AN345" s="7"/>
      <c r="AO345" s="7"/>
      <c r="AP345" s="9"/>
      <c r="AQ345" s="9"/>
      <c r="AR345" s="9"/>
      <c r="AS345" s="9"/>
      <c r="AT345" s="9"/>
      <c r="AU345" s="7"/>
      <c r="AV345" s="8"/>
    </row>
    <row r="346" spans="1:48" x14ac:dyDescent="0.2">
      <c r="A346" s="9"/>
      <c r="B346" s="9"/>
      <c r="C346" s="7"/>
      <c r="D346" s="8"/>
      <c r="E346" s="13"/>
      <c r="F346" s="13"/>
      <c r="G346" s="13"/>
      <c r="H346" s="9"/>
      <c r="I346" s="9"/>
      <c r="J346" s="161"/>
      <c r="K346" s="162"/>
      <c r="L346" s="161"/>
      <c r="M346" s="7"/>
      <c r="N346" s="7"/>
      <c r="O346" s="9"/>
      <c r="P346" s="224"/>
      <c r="Q346" s="223"/>
      <c r="R346" s="153"/>
      <c r="S346" s="9"/>
      <c r="T346" s="7"/>
      <c r="U346" s="7"/>
      <c r="V346" s="7"/>
      <c r="W346" s="7"/>
      <c r="X346" s="9"/>
      <c r="Y346" s="9"/>
      <c r="Z346" s="9"/>
      <c r="AA346" s="9"/>
      <c r="AB346" s="9"/>
      <c r="AC346" s="7"/>
      <c r="AD346" s="7"/>
      <c r="AE346" s="7"/>
      <c r="AF346" s="7"/>
      <c r="AG346" s="9"/>
      <c r="AH346" s="9"/>
      <c r="AI346" s="9"/>
      <c r="AJ346" s="9"/>
      <c r="AK346" s="9"/>
      <c r="AL346" s="7"/>
      <c r="AM346" s="8"/>
      <c r="AN346" s="7"/>
      <c r="AO346" s="7"/>
      <c r="AP346" s="9"/>
      <c r="AQ346" s="9"/>
      <c r="AR346" s="9"/>
      <c r="AS346" s="9"/>
      <c r="AT346" s="9"/>
      <c r="AU346" s="7"/>
      <c r="AV346" s="8"/>
    </row>
    <row r="347" spans="1:48" x14ac:dyDescent="0.2">
      <c r="A347" s="9"/>
      <c r="B347" s="9"/>
      <c r="C347" s="7"/>
      <c r="D347" s="8"/>
      <c r="E347" s="13"/>
      <c r="F347" s="13"/>
      <c r="G347" s="13"/>
      <c r="H347" s="9"/>
      <c r="I347" s="9"/>
      <c r="J347" s="161"/>
      <c r="K347" s="162"/>
      <c r="L347" s="161"/>
      <c r="M347" s="7"/>
      <c r="N347" s="7"/>
      <c r="O347" s="9"/>
      <c r="P347" s="224"/>
      <c r="Q347" s="223"/>
      <c r="R347" s="153"/>
      <c r="S347" s="9"/>
      <c r="T347" s="7"/>
      <c r="U347" s="7"/>
      <c r="V347" s="7"/>
      <c r="W347" s="7"/>
      <c r="X347" s="9"/>
      <c r="Y347" s="9"/>
      <c r="Z347" s="9"/>
      <c r="AA347" s="9"/>
      <c r="AB347" s="9"/>
      <c r="AC347" s="7"/>
      <c r="AD347" s="7"/>
      <c r="AE347" s="7"/>
      <c r="AF347" s="7"/>
      <c r="AG347" s="9"/>
      <c r="AH347" s="9"/>
      <c r="AI347" s="9"/>
      <c r="AJ347" s="9"/>
      <c r="AK347" s="9"/>
      <c r="AL347" s="7"/>
      <c r="AM347" s="8"/>
      <c r="AN347" s="7"/>
      <c r="AO347" s="7"/>
      <c r="AP347" s="9"/>
      <c r="AQ347" s="9"/>
      <c r="AR347" s="9"/>
      <c r="AS347" s="9"/>
      <c r="AT347" s="9"/>
      <c r="AU347" s="7"/>
      <c r="AV347" s="8"/>
    </row>
    <row r="348" spans="1:48" x14ac:dyDescent="0.2">
      <c r="A348" s="9"/>
      <c r="B348" s="9"/>
      <c r="C348" s="7"/>
      <c r="D348" s="8"/>
      <c r="E348" s="13"/>
      <c r="F348" s="13"/>
      <c r="G348" s="13"/>
      <c r="H348" s="9"/>
      <c r="I348" s="9"/>
      <c r="J348" s="161"/>
      <c r="K348" s="162"/>
      <c r="L348" s="161"/>
      <c r="M348" s="7"/>
      <c r="N348" s="7"/>
      <c r="O348" s="9"/>
      <c r="P348" s="224"/>
      <c r="Q348" s="223"/>
      <c r="R348" s="153"/>
      <c r="S348" s="9"/>
      <c r="T348" s="7"/>
      <c r="U348" s="7"/>
      <c r="V348" s="7"/>
      <c r="W348" s="7"/>
      <c r="X348" s="9"/>
      <c r="Y348" s="9"/>
      <c r="Z348" s="9"/>
      <c r="AA348" s="9"/>
      <c r="AB348" s="9"/>
      <c r="AC348" s="7"/>
      <c r="AD348" s="7"/>
      <c r="AE348" s="7"/>
      <c r="AF348" s="7"/>
      <c r="AG348" s="9"/>
      <c r="AH348" s="9"/>
      <c r="AI348" s="9"/>
      <c r="AJ348" s="9"/>
      <c r="AK348" s="9"/>
      <c r="AL348" s="7"/>
      <c r="AM348" s="8"/>
      <c r="AN348" s="7"/>
      <c r="AO348" s="7"/>
      <c r="AP348" s="9"/>
      <c r="AQ348" s="9"/>
      <c r="AR348" s="9"/>
      <c r="AS348" s="9"/>
      <c r="AT348" s="9"/>
      <c r="AU348" s="7"/>
      <c r="AV348" s="8"/>
    </row>
    <row r="349" spans="1:48" x14ac:dyDescent="0.2">
      <c r="A349" s="9"/>
      <c r="B349" s="9"/>
      <c r="C349" s="7"/>
      <c r="D349" s="8"/>
      <c r="E349" s="13"/>
      <c r="F349" s="13"/>
      <c r="G349" s="13"/>
      <c r="H349" s="9"/>
      <c r="I349" s="9"/>
      <c r="J349" s="161"/>
      <c r="K349" s="162"/>
      <c r="L349" s="161"/>
      <c r="M349" s="7"/>
      <c r="N349" s="7"/>
      <c r="O349" s="9"/>
      <c r="P349" s="224"/>
      <c r="Q349" s="223"/>
      <c r="R349" s="153"/>
      <c r="S349" s="9"/>
      <c r="T349" s="7"/>
      <c r="U349" s="7"/>
      <c r="V349" s="7"/>
      <c r="W349" s="7"/>
      <c r="X349" s="9"/>
      <c r="Y349" s="9"/>
      <c r="Z349" s="9"/>
      <c r="AA349" s="9"/>
      <c r="AB349" s="9"/>
      <c r="AC349" s="7"/>
      <c r="AD349" s="7"/>
      <c r="AE349" s="7"/>
      <c r="AF349" s="7"/>
      <c r="AG349" s="9"/>
      <c r="AH349" s="9"/>
      <c r="AI349" s="9"/>
      <c r="AJ349" s="9"/>
      <c r="AK349" s="9"/>
      <c r="AL349" s="7"/>
      <c r="AM349" s="8"/>
      <c r="AN349" s="7"/>
      <c r="AO349" s="7"/>
      <c r="AP349" s="9"/>
      <c r="AQ349" s="9"/>
      <c r="AR349" s="9"/>
      <c r="AS349" s="9"/>
      <c r="AT349" s="9"/>
      <c r="AU349" s="7"/>
      <c r="AV349" s="8"/>
    </row>
    <row r="350" spans="1:48" x14ac:dyDescent="0.2">
      <c r="A350" s="9"/>
      <c r="B350" s="9"/>
      <c r="C350" s="7"/>
      <c r="D350" s="8"/>
      <c r="E350" s="13"/>
      <c r="F350" s="13"/>
      <c r="G350" s="13"/>
      <c r="H350" s="9"/>
      <c r="I350" s="9"/>
      <c r="J350" s="161"/>
      <c r="K350" s="162"/>
      <c r="L350" s="161"/>
      <c r="M350" s="7"/>
      <c r="N350" s="7"/>
      <c r="O350" s="9"/>
      <c r="P350" s="224"/>
      <c r="Q350" s="223"/>
      <c r="R350" s="153"/>
      <c r="S350" s="9"/>
      <c r="T350" s="7"/>
      <c r="U350" s="7"/>
      <c r="V350" s="7"/>
      <c r="W350" s="7"/>
      <c r="X350" s="9"/>
      <c r="Y350" s="9"/>
      <c r="Z350" s="9"/>
      <c r="AA350" s="9"/>
      <c r="AB350" s="9"/>
      <c r="AC350" s="7"/>
      <c r="AD350" s="7"/>
      <c r="AE350" s="7"/>
      <c r="AF350" s="7"/>
      <c r="AG350" s="9"/>
      <c r="AH350" s="9"/>
      <c r="AI350" s="9"/>
      <c r="AJ350" s="9"/>
      <c r="AK350" s="9"/>
      <c r="AL350" s="7"/>
      <c r="AM350" s="8"/>
      <c r="AN350" s="7"/>
      <c r="AO350" s="7"/>
      <c r="AP350" s="9"/>
      <c r="AQ350" s="9"/>
      <c r="AR350" s="9"/>
      <c r="AS350" s="9"/>
      <c r="AT350" s="9"/>
      <c r="AU350" s="7"/>
      <c r="AV350" s="8"/>
    </row>
    <row r="351" spans="1:48" x14ac:dyDescent="0.2">
      <c r="A351" s="9"/>
      <c r="B351" s="9"/>
      <c r="C351" s="7"/>
      <c r="D351" s="8"/>
      <c r="E351" s="13"/>
      <c r="F351" s="13"/>
      <c r="G351" s="13"/>
      <c r="H351" s="9"/>
      <c r="I351" s="9"/>
      <c r="J351" s="161"/>
      <c r="K351" s="162"/>
      <c r="L351" s="161"/>
      <c r="M351" s="7"/>
      <c r="N351" s="7"/>
      <c r="O351" s="9"/>
      <c r="P351" s="224"/>
      <c r="Q351" s="223"/>
      <c r="R351" s="153"/>
      <c r="S351" s="9"/>
      <c r="T351" s="7"/>
      <c r="U351" s="7"/>
      <c r="V351" s="7"/>
      <c r="W351" s="7"/>
      <c r="X351" s="9"/>
      <c r="Y351" s="9"/>
      <c r="Z351" s="9"/>
      <c r="AA351" s="9"/>
      <c r="AB351" s="9"/>
      <c r="AC351" s="7"/>
      <c r="AD351" s="7"/>
      <c r="AE351" s="7"/>
      <c r="AF351" s="7"/>
      <c r="AG351" s="9"/>
      <c r="AH351" s="9"/>
      <c r="AI351" s="9"/>
      <c r="AJ351" s="9"/>
      <c r="AK351" s="9"/>
      <c r="AL351" s="7"/>
      <c r="AM351" s="8"/>
      <c r="AN351" s="7"/>
      <c r="AO351" s="7"/>
      <c r="AP351" s="9"/>
      <c r="AQ351" s="9"/>
      <c r="AR351" s="9"/>
      <c r="AS351" s="9"/>
      <c r="AT351" s="9"/>
      <c r="AU351" s="7"/>
      <c r="AV351" s="8"/>
    </row>
    <row r="352" spans="1:48" x14ac:dyDescent="0.2">
      <c r="A352" s="9"/>
      <c r="B352" s="9"/>
      <c r="C352" s="7"/>
      <c r="D352" s="8"/>
      <c r="E352" s="13"/>
      <c r="F352" s="13"/>
      <c r="G352" s="13"/>
      <c r="H352" s="9"/>
      <c r="I352" s="9"/>
      <c r="J352" s="161"/>
      <c r="K352" s="162"/>
      <c r="L352" s="161"/>
      <c r="M352" s="7"/>
      <c r="N352" s="7"/>
      <c r="O352" s="9"/>
      <c r="P352" s="224"/>
      <c r="Q352" s="223"/>
      <c r="R352" s="153"/>
      <c r="S352" s="9"/>
      <c r="T352" s="7"/>
      <c r="U352" s="7"/>
      <c r="V352" s="7"/>
      <c r="W352" s="7"/>
      <c r="X352" s="9"/>
      <c r="Y352" s="9"/>
      <c r="Z352" s="9"/>
      <c r="AA352" s="9"/>
      <c r="AB352" s="9"/>
      <c r="AC352" s="7"/>
      <c r="AD352" s="7"/>
      <c r="AE352" s="7"/>
      <c r="AF352" s="7"/>
      <c r="AG352" s="9"/>
      <c r="AH352" s="9"/>
      <c r="AI352" s="9"/>
      <c r="AJ352" s="9"/>
      <c r="AK352" s="9"/>
      <c r="AL352" s="7"/>
      <c r="AM352" s="8"/>
      <c r="AN352" s="7"/>
      <c r="AO352" s="7"/>
      <c r="AP352" s="9"/>
      <c r="AQ352" s="9"/>
      <c r="AR352" s="9"/>
      <c r="AS352" s="9"/>
      <c r="AT352" s="9"/>
      <c r="AU352" s="7"/>
      <c r="AV352" s="8"/>
    </row>
    <row r="353" spans="1:48" x14ac:dyDescent="0.2">
      <c r="A353" s="9"/>
      <c r="B353" s="9"/>
      <c r="C353" s="7"/>
      <c r="D353" s="8"/>
      <c r="E353" s="13"/>
      <c r="F353" s="13"/>
      <c r="G353" s="13"/>
      <c r="H353" s="9"/>
      <c r="I353" s="9"/>
      <c r="J353" s="161"/>
      <c r="K353" s="162"/>
      <c r="L353" s="161"/>
      <c r="M353" s="7"/>
      <c r="N353" s="7"/>
      <c r="O353" s="9"/>
      <c r="P353" s="224"/>
      <c r="Q353" s="223"/>
      <c r="R353" s="153"/>
      <c r="S353" s="9"/>
      <c r="T353" s="7"/>
      <c r="U353" s="7"/>
      <c r="V353" s="7"/>
      <c r="W353" s="7"/>
      <c r="X353" s="9"/>
      <c r="Y353" s="9"/>
      <c r="Z353" s="9"/>
      <c r="AA353" s="9"/>
      <c r="AB353" s="9"/>
      <c r="AC353" s="7"/>
      <c r="AD353" s="7"/>
      <c r="AE353" s="7"/>
      <c r="AF353" s="7"/>
      <c r="AG353" s="9"/>
      <c r="AH353" s="9"/>
      <c r="AI353" s="9"/>
      <c r="AJ353" s="9"/>
      <c r="AK353" s="9"/>
      <c r="AL353" s="7"/>
      <c r="AM353" s="8"/>
      <c r="AN353" s="7"/>
      <c r="AO353" s="7"/>
      <c r="AP353" s="9"/>
      <c r="AQ353" s="9"/>
      <c r="AR353" s="9"/>
      <c r="AS353" s="9"/>
      <c r="AT353" s="9"/>
      <c r="AU353" s="7"/>
      <c r="AV353" s="8"/>
    </row>
    <row r="354" spans="1:48" x14ac:dyDescent="0.2">
      <c r="A354" s="9"/>
      <c r="B354" s="9"/>
      <c r="C354" s="7"/>
      <c r="D354" s="8"/>
      <c r="E354" s="13"/>
      <c r="F354" s="13"/>
      <c r="G354" s="13"/>
      <c r="H354" s="9"/>
      <c r="I354" s="9"/>
      <c r="J354" s="161"/>
      <c r="K354" s="162"/>
      <c r="L354" s="161"/>
      <c r="M354" s="7"/>
      <c r="N354" s="7"/>
      <c r="O354" s="9"/>
      <c r="P354" s="224"/>
      <c r="Q354" s="223"/>
      <c r="R354" s="153"/>
      <c r="S354" s="9"/>
      <c r="T354" s="7"/>
      <c r="U354" s="7"/>
      <c r="V354" s="7"/>
      <c r="W354" s="7"/>
      <c r="X354" s="9"/>
      <c r="Y354" s="9"/>
      <c r="Z354" s="9"/>
      <c r="AA354" s="9"/>
      <c r="AB354" s="9"/>
      <c r="AC354" s="7"/>
      <c r="AD354" s="7"/>
      <c r="AE354" s="7"/>
      <c r="AF354" s="7"/>
      <c r="AG354" s="9"/>
      <c r="AH354" s="9"/>
      <c r="AI354" s="9"/>
      <c r="AJ354" s="9"/>
      <c r="AK354" s="9"/>
      <c r="AL354" s="7"/>
      <c r="AM354" s="8"/>
      <c r="AN354" s="7"/>
      <c r="AO354" s="7"/>
      <c r="AP354" s="9"/>
      <c r="AQ354" s="9"/>
      <c r="AR354" s="9"/>
      <c r="AS354" s="9"/>
      <c r="AT354" s="9"/>
      <c r="AU354" s="7"/>
      <c r="AV354" s="8"/>
    </row>
    <row r="355" spans="1:48" x14ac:dyDescent="0.2">
      <c r="A355" s="9"/>
      <c r="B355" s="9"/>
      <c r="C355" s="7"/>
      <c r="D355" s="8"/>
      <c r="E355" s="13"/>
      <c r="F355" s="13"/>
      <c r="G355" s="13"/>
      <c r="H355" s="9"/>
      <c r="I355" s="9"/>
      <c r="J355" s="161"/>
      <c r="K355" s="162"/>
      <c r="L355" s="161"/>
      <c r="M355" s="7"/>
      <c r="N355" s="7"/>
      <c r="O355" s="9"/>
      <c r="P355" s="224"/>
      <c r="Q355" s="223"/>
      <c r="R355" s="153"/>
      <c r="S355" s="9"/>
      <c r="T355" s="7"/>
      <c r="U355" s="7"/>
      <c r="V355" s="7"/>
      <c r="W355" s="7"/>
      <c r="X355" s="9"/>
      <c r="Y355" s="9"/>
      <c r="Z355" s="9"/>
      <c r="AA355" s="9"/>
      <c r="AB355" s="9"/>
      <c r="AC355" s="7"/>
      <c r="AD355" s="7"/>
      <c r="AE355" s="7"/>
      <c r="AF355" s="7"/>
      <c r="AG355" s="9"/>
      <c r="AH355" s="9"/>
      <c r="AI355" s="9"/>
      <c r="AJ355" s="9"/>
      <c r="AK355" s="9"/>
      <c r="AL355" s="7"/>
      <c r="AM355" s="8"/>
      <c r="AN355" s="7"/>
      <c r="AO355" s="7"/>
      <c r="AP355" s="9"/>
      <c r="AQ355" s="9"/>
      <c r="AR355" s="9"/>
      <c r="AS355" s="9"/>
      <c r="AT355" s="9"/>
      <c r="AU355" s="7"/>
      <c r="AV355" s="8"/>
    </row>
    <row r="356" spans="1:48" x14ac:dyDescent="0.2">
      <c r="A356" s="9"/>
      <c r="B356" s="9"/>
      <c r="C356" s="7"/>
      <c r="D356" s="8"/>
      <c r="E356" s="13"/>
      <c r="F356" s="13"/>
      <c r="G356" s="13"/>
      <c r="H356" s="9"/>
      <c r="I356" s="9"/>
      <c r="J356" s="161"/>
      <c r="K356" s="162"/>
      <c r="L356" s="161"/>
      <c r="M356" s="7"/>
      <c r="N356" s="7"/>
      <c r="O356" s="9"/>
      <c r="P356" s="224"/>
      <c r="Q356" s="223"/>
      <c r="R356" s="153"/>
      <c r="S356" s="9"/>
      <c r="T356" s="7"/>
      <c r="U356" s="7"/>
      <c r="V356" s="7"/>
      <c r="W356" s="7"/>
      <c r="X356" s="9"/>
      <c r="Y356" s="9"/>
      <c r="Z356" s="9"/>
      <c r="AA356" s="9"/>
      <c r="AB356" s="9"/>
      <c r="AC356" s="7"/>
      <c r="AD356" s="7"/>
      <c r="AE356" s="7"/>
      <c r="AF356" s="7"/>
      <c r="AG356" s="9"/>
      <c r="AH356" s="9"/>
      <c r="AI356" s="9"/>
      <c r="AJ356" s="9"/>
      <c r="AK356" s="9"/>
      <c r="AL356" s="7"/>
      <c r="AM356" s="8"/>
      <c r="AN356" s="7"/>
      <c r="AO356" s="7"/>
      <c r="AP356" s="9"/>
      <c r="AQ356" s="9"/>
      <c r="AR356" s="9"/>
      <c r="AS356" s="9"/>
      <c r="AT356" s="9"/>
      <c r="AU356" s="7"/>
      <c r="AV356" s="8"/>
    </row>
    <row r="357" spans="1:48" x14ac:dyDescent="0.2">
      <c r="A357" s="9"/>
      <c r="B357" s="9"/>
      <c r="C357" s="7"/>
      <c r="D357" s="8"/>
      <c r="E357" s="13"/>
      <c r="F357" s="13"/>
      <c r="G357" s="13"/>
      <c r="H357" s="9"/>
      <c r="I357" s="9"/>
      <c r="J357" s="161"/>
      <c r="K357" s="162"/>
      <c r="L357" s="161"/>
      <c r="M357" s="7"/>
      <c r="N357" s="7"/>
      <c r="O357" s="9"/>
      <c r="P357" s="224"/>
      <c r="Q357" s="223"/>
      <c r="R357" s="153"/>
      <c r="S357" s="9"/>
      <c r="T357" s="7"/>
      <c r="U357" s="7"/>
      <c r="V357" s="7"/>
      <c r="W357" s="7"/>
      <c r="X357" s="9"/>
      <c r="Y357" s="9"/>
      <c r="Z357" s="9"/>
      <c r="AA357" s="9"/>
      <c r="AB357" s="9"/>
      <c r="AC357" s="7"/>
      <c r="AD357" s="7"/>
      <c r="AE357" s="7"/>
      <c r="AF357" s="7"/>
      <c r="AG357" s="9"/>
      <c r="AH357" s="9"/>
      <c r="AI357" s="9"/>
      <c r="AJ357" s="9"/>
      <c r="AK357" s="9"/>
      <c r="AL357" s="7"/>
      <c r="AM357" s="8"/>
      <c r="AN357" s="7"/>
      <c r="AO357" s="7"/>
      <c r="AP357" s="9"/>
      <c r="AQ357" s="9"/>
      <c r="AR357" s="9"/>
      <c r="AS357" s="9"/>
      <c r="AT357" s="9"/>
      <c r="AU357" s="7"/>
      <c r="AV357" s="8"/>
    </row>
    <row r="358" spans="1:48" x14ac:dyDescent="0.2">
      <c r="A358" s="9"/>
      <c r="B358" s="9"/>
      <c r="C358" s="7"/>
      <c r="D358" s="8"/>
      <c r="E358" s="13"/>
      <c r="F358" s="13"/>
      <c r="G358" s="13"/>
      <c r="H358" s="9"/>
      <c r="I358" s="9"/>
      <c r="J358" s="161"/>
      <c r="K358" s="162"/>
      <c r="L358" s="161"/>
      <c r="M358" s="7"/>
      <c r="N358" s="7"/>
      <c r="O358" s="9"/>
      <c r="P358" s="224"/>
      <c r="Q358" s="223"/>
      <c r="R358" s="153"/>
      <c r="S358" s="9"/>
      <c r="T358" s="7"/>
      <c r="U358" s="7"/>
      <c r="V358" s="7"/>
      <c r="W358" s="7"/>
      <c r="X358" s="9"/>
      <c r="Y358" s="9"/>
      <c r="Z358" s="9"/>
      <c r="AA358" s="9"/>
      <c r="AB358" s="9"/>
      <c r="AC358" s="7"/>
      <c r="AD358" s="7"/>
      <c r="AE358" s="7"/>
      <c r="AF358" s="7"/>
      <c r="AG358" s="9"/>
      <c r="AH358" s="9"/>
      <c r="AI358" s="9"/>
      <c r="AJ358" s="9"/>
      <c r="AK358" s="9"/>
      <c r="AL358" s="7"/>
      <c r="AM358" s="8"/>
      <c r="AN358" s="7"/>
      <c r="AO358" s="7"/>
      <c r="AP358" s="9"/>
      <c r="AQ358" s="9"/>
      <c r="AR358" s="9"/>
      <c r="AS358" s="9"/>
      <c r="AT358" s="9"/>
      <c r="AU358" s="7"/>
      <c r="AV358" s="8"/>
    </row>
    <row r="359" spans="1:48" x14ac:dyDescent="0.2">
      <c r="A359" s="9"/>
      <c r="B359" s="9"/>
      <c r="C359" s="7"/>
      <c r="D359" s="8"/>
      <c r="E359" s="13"/>
      <c r="F359" s="13"/>
      <c r="G359" s="13"/>
      <c r="H359" s="9"/>
      <c r="I359" s="9"/>
      <c r="J359" s="161"/>
      <c r="K359" s="162"/>
      <c r="L359" s="161"/>
      <c r="M359" s="7"/>
      <c r="N359" s="7"/>
      <c r="O359" s="9"/>
      <c r="P359" s="224"/>
      <c r="Q359" s="223"/>
      <c r="R359" s="153"/>
      <c r="S359" s="9"/>
      <c r="T359" s="7"/>
      <c r="U359" s="7"/>
      <c r="V359" s="7"/>
      <c r="W359" s="7"/>
      <c r="X359" s="9"/>
      <c r="Y359" s="9"/>
      <c r="Z359" s="9"/>
      <c r="AA359" s="9"/>
      <c r="AB359" s="9"/>
      <c r="AC359" s="7"/>
      <c r="AD359" s="7"/>
      <c r="AE359" s="7"/>
      <c r="AF359" s="7"/>
      <c r="AG359" s="9"/>
      <c r="AH359" s="9"/>
      <c r="AI359" s="9"/>
      <c r="AJ359" s="9"/>
      <c r="AK359" s="9"/>
      <c r="AL359" s="7"/>
      <c r="AM359" s="8"/>
      <c r="AN359" s="7"/>
      <c r="AO359" s="7"/>
      <c r="AP359" s="9"/>
      <c r="AQ359" s="9"/>
      <c r="AR359" s="9"/>
      <c r="AS359" s="9"/>
      <c r="AT359" s="9"/>
      <c r="AU359" s="7"/>
      <c r="AV359" s="8"/>
    </row>
    <row r="360" spans="1:48" x14ac:dyDescent="0.2">
      <c r="A360" s="9"/>
      <c r="B360" s="9"/>
      <c r="C360" s="7"/>
      <c r="D360" s="8"/>
      <c r="E360" s="13"/>
      <c r="F360" s="13"/>
      <c r="G360" s="13"/>
      <c r="H360" s="9"/>
      <c r="I360" s="9"/>
      <c r="J360" s="161"/>
      <c r="K360" s="162"/>
      <c r="L360" s="161"/>
      <c r="M360" s="7"/>
      <c r="N360" s="7"/>
      <c r="O360" s="9"/>
      <c r="P360" s="224"/>
      <c r="Q360" s="223"/>
      <c r="R360" s="153"/>
      <c r="S360" s="9"/>
      <c r="T360" s="7"/>
      <c r="U360" s="7"/>
      <c r="V360" s="7"/>
      <c r="W360" s="7"/>
      <c r="X360" s="9"/>
      <c r="Y360" s="9"/>
      <c r="Z360" s="9"/>
      <c r="AA360" s="9"/>
      <c r="AB360" s="9"/>
      <c r="AC360" s="7"/>
      <c r="AD360" s="7"/>
      <c r="AE360" s="7"/>
      <c r="AF360" s="7"/>
      <c r="AG360" s="9"/>
      <c r="AH360" s="9"/>
      <c r="AI360" s="9"/>
      <c r="AJ360" s="9"/>
      <c r="AK360" s="9"/>
      <c r="AL360" s="7"/>
      <c r="AM360" s="8"/>
      <c r="AN360" s="7"/>
      <c r="AO360" s="7"/>
      <c r="AP360" s="9"/>
      <c r="AQ360" s="9"/>
      <c r="AR360" s="9"/>
      <c r="AS360" s="9"/>
      <c r="AT360" s="9"/>
      <c r="AU360" s="7"/>
      <c r="AV360" s="8"/>
    </row>
    <row r="361" spans="1:48" x14ac:dyDescent="0.2">
      <c r="A361" s="9"/>
      <c r="B361" s="9"/>
      <c r="C361" s="7"/>
      <c r="D361" s="8"/>
      <c r="E361" s="13"/>
      <c r="F361" s="13"/>
      <c r="G361" s="13"/>
      <c r="H361" s="9"/>
      <c r="I361" s="9"/>
      <c r="J361" s="161"/>
      <c r="K361" s="162"/>
      <c r="L361" s="161"/>
      <c r="M361" s="7"/>
      <c r="N361" s="7"/>
      <c r="O361" s="9"/>
      <c r="P361" s="224"/>
      <c r="Q361" s="223"/>
      <c r="R361" s="153"/>
      <c r="S361" s="9"/>
      <c r="T361" s="7"/>
      <c r="U361" s="7"/>
      <c r="V361" s="7"/>
      <c r="W361" s="7"/>
      <c r="X361" s="9"/>
      <c r="Y361" s="9"/>
      <c r="Z361" s="9"/>
      <c r="AA361" s="9"/>
      <c r="AB361" s="9"/>
      <c r="AC361" s="7"/>
      <c r="AD361" s="7"/>
      <c r="AE361" s="7"/>
      <c r="AF361" s="7"/>
      <c r="AG361" s="9"/>
      <c r="AH361" s="9"/>
      <c r="AI361" s="9"/>
      <c r="AJ361" s="9"/>
      <c r="AK361" s="9"/>
      <c r="AL361" s="7"/>
      <c r="AM361" s="8"/>
      <c r="AN361" s="7"/>
      <c r="AO361" s="7"/>
      <c r="AP361" s="9"/>
      <c r="AQ361" s="9"/>
      <c r="AR361" s="9"/>
      <c r="AS361" s="9"/>
      <c r="AT361" s="9"/>
      <c r="AU361" s="7"/>
      <c r="AV361" s="8"/>
    </row>
    <row r="362" spans="1:48" x14ac:dyDescent="0.2">
      <c r="A362" s="9"/>
      <c r="B362" s="9"/>
      <c r="C362" s="7"/>
      <c r="D362" s="8"/>
      <c r="E362" s="13"/>
      <c r="F362" s="13"/>
      <c r="G362" s="13"/>
      <c r="H362" s="9"/>
      <c r="I362" s="9"/>
      <c r="J362" s="161"/>
      <c r="K362" s="162"/>
      <c r="L362" s="161"/>
      <c r="M362" s="7"/>
      <c r="N362" s="7"/>
      <c r="O362" s="9"/>
      <c r="P362" s="224"/>
      <c r="Q362" s="223"/>
      <c r="R362" s="153"/>
      <c r="S362" s="9"/>
      <c r="T362" s="7"/>
      <c r="U362" s="7"/>
      <c r="V362" s="7"/>
      <c r="W362" s="7"/>
      <c r="X362" s="9"/>
      <c r="Y362" s="9"/>
      <c r="Z362" s="9"/>
      <c r="AA362" s="9"/>
      <c r="AB362" s="9"/>
      <c r="AC362" s="7"/>
      <c r="AD362" s="7"/>
      <c r="AE362" s="7"/>
      <c r="AF362" s="7"/>
      <c r="AG362" s="9"/>
      <c r="AH362" s="9"/>
      <c r="AI362" s="9"/>
      <c r="AJ362" s="9"/>
      <c r="AK362" s="9"/>
      <c r="AL362" s="7"/>
      <c r="AM362" s="8"/>
      <c r="AN362" s="7"/>
      <c r="AO362" s="7"/>
      <c r="AP362" s="9"/>
      <c r="AQ362" s="9"/>
      <c r="AR362" s="9"/>
      <c r="AS362" s="9"/>
      <c r="AT362" s="9"/>
      <c r="AU362" s="7"/>
      <c r="AV362" s="8"/>
    </row>
    <row r="363" spans="1:48" x14ac:dyDescent="0.2">
      <c r="A363" s="9"/>
      <c r="B363" s="9"/>
      <c r="C363" s="7"/>
      <c r="D363" s="8"/>
      <c r="E363" s="13"/>
      <c r="F363" s="13"/>
      <c r="G363" s="13"/>
      <c r="H363" s="9"/>
      <c r="I363" s="9"/>
      <c r="J363" s="161"/>
      <c r="K363" s="162"/>
      <c r="L363" s="161"/>
      <c r="M363" s="7"/>
      <c r="N363" s="7"/>
      <c r="O363" s="9"/>
      <c r="P363" s="224"/>
      <c r="Q363" s="223"/>
      <c r="R363" s="153"/>
      <c r="S363" s="9"/>
      <c r="T363" s="7"/>
      <c r="U363" s="7"/>
      <c r="V363" s="7"/>
      <c r="W363" s="7"/>
      <c r="X363" s="9"/>
      <c r="Y363" s="9"/>
      <c r="Z363" s="9"/>
      <c r="AA363" s="9"/>
      <c r="AB363" s="9"/>
      <c r="AC363" s="7"/>
      <c r="AD363" s="7"/>
      <c r="AE363" s="7"/>
      <c r="AF363" s="7"/>
      <c r="AG363" s="9"/>
      <c r="AH363" s="9"/>
      <c r="AI363" s="9"/>
      <c r="AJ363" s="9"/>
      <c r="AK363" s="9"/>
      <c r="AL363" s="7"/>
      <c r="AM363" s="8"/>
      <c r="AN363" s="7"/>
      <c r="AO363" s="7"/>
      <c r="AP363" s="9"/>
      <c r="AQ363" s="9"/>
      <c r="AR363" s="9"/>
      <c r="AS363" s="9"/>
      <c r="AT363" s="9"/>
      <c r="AU363" s="7"/>
      <c r="AV363" s="8"/>
    </row>
    <row r="364" spans="1:48" x14ac:dyDescent="0.2">
      <c r="A364" s="9"/>
      <c r="B364" s="9"/>
      <c r="C364" s="7"/>
      <c r="D364" s="8"/>
      <c r="E364" s="13"/>
      <c r="F364" s="13"/>
      <c r="G364" s="13"/>
      <c r="H364" s="9"/>
      <c r="I364" s="9"/>
      <c r="J364" s="161"/>
      <c r="K364" s="162"/>
      <c r="L364" s="161"/>
      <c r="M364" s="7"/>
      <c r="N364" s="7"/>
      <c r="O364" s="9"/>
      <c r="P364" s="224"/>
      <c r="Q364" s="223"/>
      <c r="R364" s="153"/>
      <c r="S364" s="9"/>
      <c r="T364" s="7"/>
      <c r="U364" s="7"/>
      <c r="V364" s="7"/>
      <c r="W364" s="7"/>
      <c r="X364" s="9"/>
      <c r="Y364" s="9"/>
      <c r="Z364" s="9"/>
      <c r="AA364" s="9"/>
      <c r="AB364" s="9"/>
      <c r="AC364" s="7"/>
      <c r="AD364" s="7"/>
      <c r="AE364" s="7"/>
      <c r="AF364" s="7"/>
      <c r="AG364" s="9"/>
      <c r="AH364" s="9"/>
      <c r="AI364" s="9"/>
      <c r="AJ364" s="9"/>
      <c r="AK364" s="9"/>
      <c r="AL364" s="7"/>
      <c r="AM364" s="8"/>
      <c r="AN364" s="7"/>
      <c r="AO364" s="7"/>
      <c r="AP364" s="9"/>
      <c r="AQ364" s="9"/>
      <c r="AR364" s="9"/>
      <c r="AS364" s="9"/>
      <c r="AT364" s="9"/>
      <c r="AU364" s="7"/>
      <c r="AV364" s="8"/>
    </row>
    <row r="365" spans="1:48" x14ac:dyDescent="0.2">
      <c r="A365" s="9"/>
      <c r="B365" s="9"/>
      <c r="C365" s="7"/>
      <c r="D365" s="8"/>
      <c r="E365" s="13"/>
      <c r="F365" s="13"/>
      <c r="G365" s="13"/>
      <c r="H365" s="9"/>
      <c r="I365" s="9"/>
      <c r="J365" s="161"/>
      <c r="K365" s="162"/>
      <c r="L365" s="161"/>
      <c r="M365" s="7"/>
      <c r="N365" s="7"/>
      <c r="O365" s="9"/>
      <c r="P365" s="224"/>
      <c r="Q365" s="223"/>
      <c r="R365" s="153"/>
      <c r="S365" s="9"/>
      <c r="T365" s="7"/>
      <c r="U365" s="7"/>
      <c r="V365" s="7"/>
      <c r="W365" s="7"/>
      <c r="X365" s="9"/>
      <c r="Y365" s="9"/>
      <c r="Z365" s="9"/>
      <c r="AA365" s="9"/>
      <c r="AB365" s="9"/>
      <c r="AC365" s="7"/>
      <c r="AD365" s="7"/>
      <c r="AE365" s="7"/>
      <c r="AF365" s="7"/>
      <c r="AG365" s="9"/>
      <c r="AH365" s="9"/>
      <c r="AI365" s="9"/>
      <c r="AJ365" s="9"/>
      <c r="AK365" s="9"/>
      <c r="AL365" s="7"/>
      <c r="AM365" s="8"/>
      <c r="AN365" s="7"/>
      <c r="AO365" s="7"/>
      <c r="AP365" s="9"/>
      <c r="AQ365" s="9"/>
      <c r="AR365" s="9"/>
      <c r="AS365" s="9"/>
      <c r="AT365" s="9"/>
      <c r="AU365" s="7"/>
      <c r="AV365" s="8"/>
    </row>
    <row r="366" spans="1:48" x14ac:dyDescent="0.2">
      <c r="A366" s="9"/>
      <c r="B366" s="9"/>
      <c r="C366" s="7"/>
      <c r="D366" s="8"/>
      <c r="E366" s="13"/>
      <c r="F366" s="13"/>
      <c r="G366" s="13"/>
      <c r="H366" s="9"/>
      <c r="I366" s="9"/>
      <c r="J366" s="161"/>
      <c r="K366" s="162"/>
      <c r="L366" s="161"/>
      <c r="M366" s="7"/>
      <c r="N366" s="7"/>
      <c r="O366" s="9"/>
      <c r="P366" s="224"/>
      <c r="Q366" s="223"/>
      <c r="R366" s="153"/>
      <c r="S366" s="9"/>
      <c r="T366" s="7"/>
      <c r="U366" s="7"/>
      <c r="V366" s="7"/>
      <c r="W366" s="7"/>
      <c r="X366" s="9"/>
      <c r="Y366" s="9"/>
      <c r="Z366" s="9"/>
      <c r="AA366" s="9"/>
      <c r="AB366" s="9"/>
      <c r="AC366" s="7"/>
      <c r="AD366" s="7"/>
      <c r="AE366" s="7"/>
      <c r="AF366" s="7"/>
      <c r="AG366" s="9"/>
      <c r="AH366" s="9"/>
      <c r="AI366" s="9"/>
      <c r="AJ366" s="9"/>
      <c r="AK366" s="9"/>
      <c r="AL366" s="7"/>
      <c r="AM366" s="8"/>
      <c r="AN366" s="7"/>
      <c r="AO366" s="7"/>
      <c r="AP366" s="9"/>
      <c r="AQ366" s="9"/>
      <c r="AR366" s="9"/>
      <c r="AS366" s="9"/>
      <c r="AT366" s="9"/>
      <c r="AU366" s="7"/>
      <c r="AV366" s="8"/>
    </row>
    <row r="367" spans="1:48" x14ac:dyDescent="0.2">
      <c r="A367" s="9"/>
      <c r="B367" s="9"/>
      <c r="C367" s="7"/>
      <c r="D367" s="8"/>
      <c r="E367" s="13"/>
      <c r="F367" s="13"/>
      <c r="G367" s="13"/>
      <c r="H367" s="9"/>
      <c r="I367" s="9"/>
      <c r="J367" s="161"/>
      <c r="K367" s="162"/>
      <c r="L367" s="161"/>
      <c r="M367" s="7"/>
      <c r="N367" s="7"/>
      <c r="O367" s="9"/>
      <c r="P367" s="224"/>
      <c r="Q367" s="223"/>
      <c r="R367" s="153"/>
      <c r="S367" s="9"/>
      <c r="T367" s="7"/>
      <c r="U367" s="7"/>
      <c r="V367" s="7"/>
      <c r="W367" s="7"/>
      <c r="X367" s="9"/>
      <c r="Y367" s="9"/>
      <c r="Z367" s="9"/>
      <c r="AA367" s="9"/>
      <c r="AB367" s="9"/>
      <c r="AC367" s="7"/>
      <c r="AD367" s="7"/>
      <c r="AE367" s="7"/>
      <c r="AF367" s="7"/>
      <c r="AG367" s="9"/>
      <c r="AH367" s="9"/>
      <c r="AI367" s="9"/>
      <c r="AJ367" s="9"/>
      <c r="AK367" s="9"/>
      <c r="AL367" s="7"/>
      <c r="AM367" s="8"/>
      <c r="AN367" s="7"/>
      <c r="AO367" s="7"/>
      <c r="AP367" s="9"/>
      <c r="AQ367" s="9"/>
      <c r="AR367" s="9"/>
      <c r="AS367" s="9"/>
      <c r="AT367" s="9"/>
      <c r="AU367" s="7"/>
      <c r="AV367" s="8"/>
    </row>
    <row r="368" spans="1:48" x14ac:dyDescent="0.2">
      <c r="A368" s="9"/>
      <c r="B368" s="9"/>
      <c r="C368" s="7"/>
      <c r="D368" s="8"/>
      <c r="E368" s="13"/>
      <c r="F368" s="13"/>
      <c r="G368" s="13"/>
      <c r="H368" s="9"/>
      <c r="I368" s="9"/>
      <c r="J368" s="161"/>
      <c r="K368" s="162"/>
      <c r="L368" s="161"/>
      <c r="M368" s="7"/>
      <c r="N368" s="7"/>
      <c r="O368" s="9"/>
      <c r="P368" s="224"/>
      <c r="Q368" s="223"/>
      <c r="R368" s="153"/>
      <c r="S368" s="9"/>
      <c r="T368" s="7"/>
      <c r="U368" s="7"/>
      <c r="V368" s="7"/>
      <c r="W368" s="7"/>
      <c r="X368" s="9"/>
      <c r="Y368" s="9"/>
      <c r="Z368" s="9"/>
      <c r="AA368" s="9"/>
      <c r="AB368" s="9"/>
      <c r="AC368" s="7"/>
      <c r="AD368" s="7"/>
      <c r="AE368" s="7"/>
      <c r="AF368" s="7"/>
      <c r="AG368" s="9"/>
      <c r="AH368" s="9"/>
      <c r="AI368" s="9"/>
      <c r="AJ368" s="9"/>
      <c r="AK368" s="9"/>
      <c r="AL368" s="7"/>
      <c r="AM368" s="8"/>
      <c r="AN368" s="7"/>
      <c r="AO368" s="7"/>
      <c r="AP368" s="9"/>
      <c r="AQ368" s="9"/>
      <c r="AR368" s="9"/>
      <c r="AS368" s="9"/>
      <c r="AT368" s="9"/>
      <c r="AU368" s="7"/>
      <c r="AV368" s="8"/>
    </row>
    <row r="369" spans="1:48" x14ac:dyDescent="0.2">
      <c r="A369" s="9"/>
      <c r="B369" s="9"/>
      <c r="C369" s="7"/>
      <c r="D369" s="8"/>
      <c r="E369" s="13"/>
      <c r="F369" s="13"/>
      <c r="G369" s="13"/>
      <c r="H369" s="9"/>
      <c r="I369" s="9"/>
      <c r="J369" s="161"/>
      <c r="K369" s="162"/>
      <c r="L369" s="161"/>
      <c r="M369" s="7"/>
      <c r="N369" s="7"/>
      <c r="O369" s="9"/>
      <c r="P369" s="224"/>
      <c r="Q369" s="223"/>
      <c r="R369" s="153"/>
      <c r="S369" s="9"/>
      <c r="T369" s="7"/>
      <c r="U369" s="7"/>
      <c r="V369" s="7"/>
      <c r="W369" s="7"/>
      <c r="X369" s="9"/>
      <c r="Y369" s="9"/>
      <c r="Z369" s="9"/>
      <c r="AA369" s="9"/>
      <c r="AB369" s="9"/>
      <c r="AC369" s="7"/>
      <c r="AD369" s="7"/>
      <c r="AE369" s="7"/>
      <c r="AF369" s="7"/>
      <c r="AG369" s="9"/>
      <c r="AH369" s="9"/>
      <c r="AI369" s="9"/>
      <c r="AJ369" s="9"/>
      <c r="AK369" s="9"/>
      <c r="AL369" s="7"/>
      <c r="AM369" s="8"/>
      <c r="AN369" s="7"/>
      <c r="AO369" s="7"/>
      <c r="AP369" s="9"/>
      <c r="AQ369" s="9"/>
      <c r="AR369" s="9"/>
      <c r="AS369" s="9"/>
      <c r="AT369" s="9"/>
      <c r="AU369" s="7"/>
      <c r="AV369" s="8"/>
    </row>
    <row r="370" spans="1:48" x14ac:dyDescent="0.2">
      <c r="A370" s="9"/>
      <c r="B370" s="9"/>
      <c r="C370" s="7"/>
      <c r="D370" s="8"/>
      <c r="E370" s="13"/>
      <c r="F370" s="13"/>
      <c r="G370" s="13"/>
      <c r="H370" s="9"/>
      <c r="I370" s="9"/>
      <c r="J370" s="161"/>
      <c r="K370" s="162"/>
      <c r="L370" s="161"/>
      <c r="M370" s="7"/>
      <c r="N370" s="7"/>
      <c r="O370" s="9"/>
      <c r="P370" s="224"/>
      <c r="Q370" s="223"/>
      <c r="R370" s="153"/>
      <c r="S370" s="9"/>
      <c r="T370" s="7"/>
      <c r="U370" s="7"/>
      <c r="V370" s="7"/>
      <c r="W370" s="7"/>
      <c r="X370" s="9"/>
      <c r="Y370" s="9"/>
      <c r="Z370" s="9"/>
      <c r="AA370" s="9"/>
      <c r="AB370" s="9"/>
      <c r="AC370" s="7"/>
      <c r="AD370" s="7"/>
      <c r="AE370" s="7"/>
      <c r="AF370" s="7"/>
      <c r="AG370" s="9"/>
      <c r="AH370" s="9"/>
      <c r="AI370" s="9"/>
      <c r="AJ370" s="9"/>
      <c r="AK370" s="9"/>
      <c r="AL370" s="7"/>
      <c r="AM370" s="8"/>
      <c r="AN370" s="7"/>
      <c r="AO370" s="7"/>
      <c r="AP370" s="9"/>
      <c r="AQ370" s="9"/>
      <c r="AR370" s="9"/>
      <c r="AS370" s="9"/>
      <c r="AT370" s="9"/>
      <c r="AU370" s="7"/>
      <c r="AV370" s="8"/>
    </row>
    <row r="371" spans="1:48" x14ac:dyDescent="0.2">
      <c r="A371" s="9"/>
      <c r="B371" s="9"/>
      <c r="C371" s="7"/>
      <c r="D371" s="8"/>
      <c r="E371" s="13"/>
      <c r="F371" s="13"/>
      <c r="G371" s="13"/>
      <c r="H371" s="9"/>
      <c r="I371" s="9"/>
      <c r="J371" s="161"/>
      <c r="K371" s="162"/>
      <c r="L371" s="161"/>
      <c r="M371" s="7"/>
      <c r="N371" s="7"/>
      <c r="O371" s="9"/>
      <c r="P371" s="224"/>
      <c r="Q371" s="223"/>
      <c r="R371" s="153"/>
      <c r="S371" s="9"/>
      <c r="T371" s="7"/>
      <c r="U371" s="7"/>
      <c r="V371" s="7"/>
      <c r="W371" s="7"/>
      <c r="X371" s="9"/>
      <c r="Y371" s="9"/>
      <c r="Z371" s="9"/>
      <c r="AA371" s="9"/>
      <c r="AB371" s="9"/>
      <c r="AC371" s="7"/>
      <c r="AD371" s="7"/>
      <c r="AE371" s="7"/>
      <c r="AF371" s="7"/>
      <c r="AG371" s="9"/>
      <c r="AH371" s="9"/>
      <c r="AI371" s="9"/>
      <c r="AJ371" s="9"/>
      <c r="AK371" s="9"/>
      <c r="AL371" s="7"/>
      <c r="AM371" s="8"/>
      <c r="AN371" s="7"/>
      <c r="AO371" s="7"/>
      <c r="AP371" s="9"/>
      <c r="AQ371" s="9"/>
      <c r="AR371" s="9"/>
      <c r="AS371" s="9"/>
      <c r="AT371" s="9"/>
      <c r="AU371" s="7"/>
      <c r="AV371" s="8"/>
    </row>
    <row r="372" spans="1:48" x14ac:dyDescent="0.2">
      <c r="A372" s="9"/>
      <c r="B372" s="9"/>
      <c r="C372" s="7"/>
      <c r="D372" s="8"/>
      <c r="E372" s="13"/>
      <c r="F372" s="13"/>
      <c r="G372" s="13"/>
      <c r="H372" s="9"/>
      <c r="I372" s="9"/>
      <c r="J372" s="161"/>
      <c r="K372" s="162"/>
      <c r="L372" s="161"/>
      <c r="M372" s="7"/>
      <c r="N372" s="7"/>
      <c r="O372" s="9"/>
      <c r="P372" s="224"/>
      <c r="Q372" s="223"/>
      <c r="R372" s="153"/>
      <c r="S372" s="9"/>
      <c r="T372" s="7"/>
      <c r="U372" s="7"/>
      <c r="V372" s="7"/>
      <c r="W372" s="7"/>
      <c r="X372" s="9"/>
      <c r="Y372" s="9"/>
      <c r="Z372" s="9"/>
      <c r="AA372" s="9"/>
      <c r="AB372" s="9"/>
      <c r="AC372" s="7"/>
      <c r="AD372" s="7"/>
      <c r="AE372" s="7"/>
      <c r="AF372" s="7"/>
      <c r="AG372" s="9"/>
      <c r="AH372" s="9"/>
      <c r="AI372" s="9"/>
      <c r="AJ372" s="9"/>
      <c r="AK372" s="9"/>
      <c r="AL372" s="7"/>
      <c r="AM372" s="8"/>
      <c r="AN372" s="7"/>
      <c r="AO372" s="7"/>
      <c r="AP372" s="9"/>
      <c r="AQ372" s="9"/>
      <c r="AR372" s="9"/>
      <c r="AS372" s="9"/>
      <c r="AT372" s="9"/>
      <c r="AU372" s="7"/>
      <c r="AV372" s="8"/>
    </row>
    <row r="373" spans="1:48" x14ac:dyDescent="0.2">
      <c r="A373" s="9"/>
      <c r="B373" s="9"/>
      <c r="C373" s="7"/>
      <c r="D373" s="8"/>
      <c r="E373" s="13"/>
      <c r="F373" s="13"/>
      <c r="G373" s="13"/>
      <c r="H373" s="9"/>
      <c r="I373" s="9"/>
      <c r="J373" s="161"/>
      <c r="K373" s="162"/>
      <c r="L373" s="161"/>
      <c r="M373" s="7"/>
      <c r="N373" s="7"/>
      <c r="O373" s="9"/>
      <c r="P373" s="224"/>
      <c r="Q373" s="223"/>
      <c r="R373" s="153"/>
      <c r="S373" s="9"/>
      <c r="T373" s="7"/>
      <c r="U373" s="7"/>
      <c r="V373" s="7"/>
      <c r="W373" s="7"/>
      <c r="X373" s="9"/>
      <c r="Y373" s="9"/>
      <c r="Z373" s="9"/>
      <c r="AA373" s="9"/>
      <c r="AB373" s="9"/>
      <c r="AC373" s="7"/>
      <c r="AD373" s="7"/>
      <c r="AE373" s="7"/>
      <c r="AF373" s="7"/>
      <c r="AG373" s="9"/>
      <c r="AH373" s="9"/>
      <c r="AI373" s="9"/>
      <c r="AJ373" s="9"/>
      <c r="AK373" s="9"/>
      <c r="AL373" s="7"/>
      <c r="AM373" s="8"/>
      <c r="AN373" s="7"/>
      <c r="AO373" s="7"/>
      <c r="AP373" s="9"/>
      <c r="AQ373" s="9"/>
      <c r="AR373" s="9"/>
      <c r="AS373" s="9"/>
      <c r="AT373" s="9"/>
      <c r="AU373" s="7"/>
      <c r="AV373" s="8"/>
    </row>
    <row r="374" spans="1:48" x14ac:dyDescent="0.2">
      <c r="A374" s="9"/>
      <c r="B374" s="9"/>
      <c r="C374" s="7"/>
      <c r="D374" s="8"/>
      <c r="E374" s="13"/>
      <c r="F374" s="13"/>
      <c r="G374" s="13"/>
      <c r="H374" s="9"/>
      <c r="I374" s="9"/>
      <c r="J374" s="161"/>
      <c r="K374" s="162"/>
      <c r="L374" s="161"/>
      <c r="M374" s="7"/>
      <c r="N374" s="7"/>
      <c r="O374" s="9"/>
      <c r="P374" s="224"/>
      <c r="Q374" s="223"/>
      <c r="R374" s="153"/>
      <c r="S374" s="9"/>
      <c r="T374" s="7"/>
      <c r="U374" s="7"/>
      <c r="V374" s="7"/>
      <c r="W374" s="7"/>
      <c r="X374" s="9"/>
      <c r="Y374" s="9"/>
      <c r="Z374" s="9"/>
      <c r="AA374" s="9"/>
      <c r="AB374" s="9"/>
      <c r="AC374" s="7"/>
      <c r="AD374" s="7"/>
      <c r="AE374" s="7"/>
      <c r="AF374" s="7"/>
      <c r="AG374" s="9"/>
      <c r="AH374" s="9"/>
      <c r="AI374" s="9"/>
      <c r="AJ374" s="9"/>
      <c r="AK374" s="9"/>
      <c r="AL374" s="7"/>
      <c r="AM374" s="8"/>
      <c r="AN374" s="7"/>
      <c r="AO374" s="7"/>
      <c r="AP374" s="9"/>
      <c r="AQ374" s="9"/>
      <c r="AR374" s="9"/>
      <c r="AS374" s="9"/>
      <c r="AT374" s="9"/>
      <c r="AU374" s="7"/>
      <c r="AV374" s="8"/>
    </row>
    <row r="375" spans="1:48" x14ac:dyDescent="0.2">
      <c r="A375" s="9"/>
      <c r="B375" s="9"/>
      <c r="C375" s="7"/>
      <c r="D375" s="8"/>
      <c r="E375" s="13"/>
      <c r="F375" s="13"/>
      <c r="G375" s="13"/>
      <c r="H375" s="9"/>
      <c r="I375" s="9"/>
      <c r="J375" s="161"/>
      <c r="K375" s="162"/>
      <c r="L375" s="161"/>
      <c r="M375" s="7"/>
      <c r="N375" s="7"/>
      <c r="O375" s="9"/>
      <c r="P375" s="224"/>
      <c r="Q375" s="223"/>
      <c r="R375" s="153"/>
      <c r="S375" s="9"/>
      <c r="T375" s="7"/>
      <c r="U375" s="7"/>
      <c r="V375" s="7"/>
      <c r="W375" s="7"/>
      <c r="X375" s="9"/>
      <c r="Y375" s="9"/>
      <c r="Z375" s="9"/>
      <c r="AA375" s="9"/>
      <c r="AB375" s="9"/>
      <c r="AC375" s="7"/>
      <c r="AD375" s="7"/>
      <c r="AE375" s="7"/>
      <c r="AF375" s="7"/>
      <c r="AG375" s="9"/>
      <c r="AH375" s="9"/>
      <c r="AI375" s="9"/>
      <c r="AJ375" s="9"/>
      <c r="AK375" s="9"/>
      <c r="AL375" s="7"/>
      <c r="AM375" s="8"/>
      <c r="AN375" s="7"/>
      <c r="AO375" s="7"/>
      <c r="AP375" s="9"/>
      <c r="AQ375" s="9"/>
      <c r="AR375" s="9"/>
      <c r="AS375" s="9"/>
      <c r="AT375" s="9"/>
      <c r="AU375" s="7"/>
      <c r="AV375" s="8"/>
    </row>
    <row r="376" spans="1:48" x14ac:dyDescent="0.2">
      <c r="A376" s="9"/>
      <c r="B376" s="9"/>
      <c r="C376" s="7"/>
      <c r="D376" s="8"/>
      <c r="E376" s="13"/>
      <c r="F376" s="13"/>
      <c r="G376" s="13"/>
      <c r="H376" s="9"/>
      <c r="I376" s="9"/>
      <c r="J376" s="161"/>
      <c r="K376" s="162"/>
      <c r="L376" s="161"/>
      <c r="M376" s="7"/>
      <c r="N376" s="7"/>
      <c r="O376" s="9"/>
      <c r="P376" s="224"/>
      <c r="Q376" s="223"/>
      <c r="R376" s="153"/>
      <c r="S376" s="9"/>
      <c r="T376" s="7"/>
      <c r="U376" s="7"/>
      <c r="V376" s="7"/>
      <c r="W376" s="7"/>
      <c r="X376" s="9"/>
      <c r="Y376" s="9"/>
      <c r="Z376" s="9"/>
      <c r="AA376" s="9"/>
      <c r="AB376" s="9"/>
      <c r="AC376" s="7"/>
      <c r="AD376" s="7"/>
      <c r="AE376" s="7"/>
      <c r="AF376" s="7"/>
      <c r="AG376" s="9"/>
      <c r="AH376" s="9"/>
      <c r="AI376" s="9"/>
      <c r="AJ376" s="9"/>
      <c r="AK376" s="9"/>
      <c r="AL376" s="7"/>
      <c r="AM376" s="8"/>
      <c r="AN376" s="7"/>
      <c r="AO376" s="7"/>
      <c r="AP376" s="9"/>
      <c r="AQ376" s="9"/>
      <c r="AR376" s="9"/>
      <c r="AS376" s="9"/>
      <c r="AT376" s="9"/>
      <c r="AU376" s="7"/>
      <c r="AV376" s="8"/>
    </row>
    <row r="377" spans="1:48" x14ac:dyDescent="0.2">
      <c r="A377" s="9"/>
      <c r="B377" s="9"/>
      <c r="C377" s="7"/>
      <c r="D377" s="8"/>
      <c r="E377" s="13"/>
      <c r="F377" s="13"/>
      <c r="G377" s="13"/>
      <c r="H377" s="9"/>
      <c r="I377" s="9"/>
      <c r="J377" s="161"/>
      <c r="K377" s="162"/>
      <c r="L377" s="161"/>
      <c r="M377" s="7"/>
      <c r="N377" s="7"/>
      <c r="O377" s="9"/>
      <c r="P377" s="224"/>
      <c r="Q377" s="223"/>
      <c r="R377" s="153"/>
      <c r="S377" s="9"/>
      <c r="T377" s="7"/>
      <c r="U377" s="7"/>
      <c r="V377" s="7"/>
      <c r="W377" s="7"/>
      <c r="X377" s="9"/>
      <c r="Y377" s="9"/>
      <c r="Z377" s="9"/>
      <c r="AA377" s="9"/>
      <c r="AB377" s="9"/>
      <c r="AC377" s="7"/>
      <c r="AD377" s="7"/>
      <c r="AE377" s="7"/>
      <c r="AF377" s="7"/>
      <c r="AG377" s="9"/>
      <c r="AH377" s="9"/>
      <c r="AI377" s="9"/>
      <c r="AJ377" s="9"/>
      <c r="AK377" s="9"/>
      <c r="AL377" s="7"/>
      <c r="AM377" s="8"/>
      <c r="AN377" s="7"/>
      <c r="AO377" s="7"/>
      <c r="AP377" s="9"/>
      <c r="AQ377" s="9"/>
      <c r="AR377" s="9"/>
      <c r="AS377" s="9"/>
      <c r="AT377" s="9"/>
      <c r="AU377" s="7"/>
      <c r="AV377" s="8"/>
    </row>
  </sheetData>
  <sheetProtection algorithmName="SHA-512" hashValue="3aq2neR06VocmNrS6LQzq+9VkrHqMCyuY7kzinB+r42HlWH1CWOtZcqmqzUAdbhDSdnRn0IIFT+aQOxdgjlqSg==" saltValue="rwKGjLle91nIAprm3K5Cbw==" spinCount="100000" sheet="1" scenarios="1" formatCells="0" formatColumns="0" formatRows="0" insertRows="0" deleteRows="0" sort="0" autoFilter="0"/>
  <autoFilter ref="A10:W242" xr:uid="{00000000-0009-0000-0000-000000000000}"/>
  <mergeCells count="1">
    <mergeCell ref="P9:Q9"/>
  </mergeCells>
  <phoneticPr fontId="0" type="noConversion"/>
  <printOptions horizontalCentered="1"/>
  <pageMargins left="0.35433070866141736" right="0.35433070866141736" top="0.39370078740157483" bottom="0.39370078740157483" header="0" footer="0"/>
  <pageSetup paperSize="9" scale="70" fitToHeight="0" orientation="landscape" r:id="rId1"/>
  <headerFooter alignWithMargins="0">
    <oddFooter>&amp;R&amp;P</oddFooter>
  </headerFooter>
  <rowBreaks count="3" manualBreakCount="3">
    <brk id="143" max="13" man="1"/>
    <brk id="167" max="13" man="1"/>
    <brk id="23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D17"/>
  <sheetViews>
    <sheetView workbookViewId="0">
      <selection activeCell="M23" sqref="M22:N23"/>
    </sheetView>
  </sheetViews>
  <sheetFormatPr defaultRowHeight="12.75" x14ac:dyDescent="0.2"/>
  <cols>
    <col min="1" max="1" width="15.42578125" bestFit="1" customWidth="1"/>
  </cols>
  <sheetData>
    <row r="1" spans="1:108" ht="30.75" customHeight="1" thickBot="1" x14ac:dyDescent="0.3">
      <c r="A1" s="303" t="s">
        <v>373</v>
      </c>
      <c r="B1" s="306" t="s">
        <v>374</v>
      </c>
      <c r="C1" s="307"/>
      <c r="D1" s="307"/>
      <c r="E1" s="307"/>
      <c r="F1" s="308"/>
      <c r="G1" s="312" t="s">
        <v>375</v>
      </c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4"/>
      <c r="AA1" s="315" t="s">
        <v>376</v>
      </c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7"/>
      <c r="AU1" s="318" t="s">
        <v>377</v>
      </c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319"/>
      <c r="BO1" s="319"/>
      <c r="BP1" s="319"/>
      <c r="BQ1" s="319"/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  <c r="CC1" s="320"/>
      <c r="CD1" s="343" t="s">
        <v>378</v>
      </c>
      <c r="CE1" s="344"/>
      <c r="CF1" s="344"/>
      <c r="CG1" s="344"/>
      <c r="CH1" s="345"/>
      <c r="CI1" s="30"/>
      <c r="CJ1" s="30" t="s">
        <v>379</v>
      </c>
      <c r="CK1" s="315" t="s">
        <v>380</v>
      </c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7"/>
    </row>
    <row r="2" spans="1:108" ht="15" customHeight="1" x14ac:dyDescent="0.25">
      <c r="A2" s="304"/>
      <c r="B2" s="309"/>
      <c r="C2" s="310"/>
      <c r="D2" s="310"/>
      <c r="E2" s="310"/>
      <c r="F2" s="311"/>
      <c r="G2" s="331" t="s">
        <v>381</v>
      </c>
      <c r="H2" s="332"/>
      <c r="I2" s="332"/>
      <c r="J2" s="332"/>
      <c r="K2" s="333"/>
      <c r="L2" s="334" t="s">
        <v>382</v>
      </c>
      <c r="M2" s="335"/>
      <c r="N2" s="335"/>
      <c r="O2" s="335"/>
      <c r="P2" s="336"/>
      <c r="Q2" s="334" t="s">
        <v>383</v>
      </c>
      <c r="R2" s="335"/>
      <c r="S2" s="335"/>
      <c r="T2" s="335"/>
      <c r="U2" s="336"/>
      <c r="V2" s="334" t="s">
        <v>384</v>
      </c>
      <c r="W2" s="335"/>
      <c r="X2" s="335"/>
      <c r="Y2" s="335"/>
      <c r="Z2" s="336"/>
      <c r="AA2" s="337" t="s">
        <v>385</v>
      </c>
      <c r="AB2" s="338"/>
      <c r="AC2" s="338"/>
      <c r="AD2" s="338"/>
      <c r="AE2" s="339"/>
      <c r="AF2" s="309" t="s">
        <v>386</v>
      </c>
      <c r="AG2" s="310"/>
      <c r="AH2" s="310"/>
      <c r="AI2" s="310"/>
      <c r="AJ2" s="311"/>
      <c r="AK2" s="309" t="s">
        <v>387</v>
      </c>
      <c r="AL2" s="310"/>
      <c r="AM2" s="310"/>
      <c r="AN2" s="310"/>
      <c r="AO2" s="311"/>
      <c r="AP2" s="309" t="s">
        <v>388</v>
      </c>
      <c r="AQ2" s="310"/>
      <c r="AR2" s="310"/>
      <c r="AS2" s="310"/>
      <c r="AT2" s="311"/>
      <c r="AU2" s="340" t="s">
        <v>389</v>
      </c>
      <c r="AV2" s="341"/>
      <c r="AW2" s="341"/>
      <c r="AX2" s="341"/>
      <c r="AY2" s="342"/>
      <c r="AZ2" s="321" t="s">
        <v>390</v>
      </c>
      <c r="BA2" s="322"/>
      <c r="BB2" s="322"/>
      <c r="BC2" s="322"/>
      <c r="BD2" s="323"/>
      <c r="BE2" s="309" t="s">
        <v>391</v>
      </c>
      <c r="BF2" s="310"/>
      <c r="BG2" s="310"/>
      <c r="BH2" s="310"/>
      <c r="BI2" s="311"/>
      <c r="BJ2" s="309" t="s">
        <v>392</v>
      </c>
      <c r="BK2" s="310"/>
      <c r="BL2" s="310"/>
      <c r="BM2" s="310"/>
      <c r="BN2" s="311"/>
      <c r="BO2" s="309" t="s">
        <v>393</v>
      </c>
      <c r="BP2" s="310"/>
      <c r="BQ2" s="310"/>
      <c r="BR2" s="310"/>
      <c r="BS2" s="311"/>
      <c r="BT2" s="349" t="s">
        <v>394</v>
      </c>
      <c r="BU2" s="350"/>
      <c r="BV2" s="350"/>
      <c r="BW2" s="350"/>
      <c r="BX2" s="351"/>
      <c r="BY2" s="352" t="s">
        <v>395</v>
      </c>
      <c r="BZ2" s="353"/>
      <c r="CA2" s="353"/>
      <c r="CB2" s="353"/>
      <c r="CC2" s="354"/>
      <c r="CD2" s="346"/>
      <c r="CE2" s="347"/>
      <c r="CF2" s="347"/>
      <c r="CG2" s="347"/>
      <c r="CH2" s="348"/>
      <c r="CI2" s="30"/>
      <c r="CJ2" s="30"/>
      <c r="CK2" s="355" t="s">
        <v>396</v>
      </c>
      <c r="CL2" s="338"/>
      <c r="CM2" s="338"/>
      <c r="CN2" s="338"/>
      <c r="CO2" s="339"/>
      <c r="CP2" s="309" t="s">
        <v>397</v>
      </c>
      <c r="CQ2" s="310"/>
      <c r="CR2" s="310"/>
      <c r="CS2" s="310"/>
      <c r="CT2" s="311"/>
      <c r="CU2" s="309" t="s">
        <v>398</v>
      </c>
      <c r="CV2" s="310"/>
      <c r="CW2" s="310"/>
      <c r="CX2" s="310"/>
      <c r="CY2" s="311"/>
      <c r="CZ2" s="309" t="s">
        <v>399</v>
      </c>
      <c r="DA2" s="310"/>
      <c r="DB2" s="310"/>
      <c r="DC2" s="310"/>
      <c r="DD2" s="311"/>
    </row>
    <row r="3" spans="1:108" ht="15" customHeight="1" x14ac:dyDescent="0.25">
      <c r="A3" s="304"/>
      <c r="B3" s="326" t="s">
        <v>400</v>
      </c>
      <c r="C3" s="356">
        <v>2026</v>
      </c>
      <c r="D3" s="356"/>
      <c r="E3" s="356"/>
      <c r="F3" s="324" t="s">
        <v>401</v>
      </c>
      <c r="G3" s="326" t="s">
        <v>400</v>
      </c>
      <c r="H3" s="357">
        <f>C3</f>
        <v>2026</v>
      </c>
      <c r="I3" s="357"/>
      <c r="J3" s="357"/>
      <c r="K3" s="324" t="s">
        <v>401</v>
      </c>
      <c r="L3" s="326" t="s">
        <v>400</v>
      </c>
      <c r="M3" s="328">
        <f>C3</f>
        <v>2026</v>
      </c>
      <c r="N3" s="328"/>
      <c r="O3" s="328"/>
      <c r="P3" s="329" t="s">
        <v>401</v>
      </c>
      <c r="Q3" s="326" t="s">
        <v>400</v>
      </c>
      <c r="R3" s="328">
        <f>C3</f>
        <v>2026</v>
      </c>
      <c r="S3" s="328"/>
      <c r="T3" s="328"/>
      <c r="U3" s="329" t="s">
        <v>401</v>
      </c>
      <c r="V3" s="326" t="s">
        <v>400</v>
      </c>
      <c r="W3" s="328">
        <f>C3</f>
        <v>2026</v>
      </c>
      <c r="X3" s="328"/>
      <c r="Y3" s="328"/>
      <c r="Z3" s="329" t="s">
        <v>401</v>
      </c>
      <c r="AA3" s="326" t="s">
        <v>400</v>
      </c>
      <c r="AB3" s="328">
        <f>C3</f>
        <v>2026</v>
      </c>
      <c r="AC3" s="328"/>
      <c r="AD3" s="328"/>
      <c r="AE3" s="324" t="s">
        <v>401</v>
      </c>
      <c r="AF3" s="326" t="s">
        <v>400</v>
      </c>
      <c r="AG3" s="328">
        <f>C3</f>
        <v>2026</v>
      </c>
      <c r="AH3" s="328"/>
      <c r="AI3" s="328"/>
      <c r="AJ3" s="329" t="s">
        <v>401</v>
      </c>
      <c r="AK3" s="326" t="s">
        <v>400</v>
      </c>
      <c r="AL3" s="328">
        <f>C3</f>
        <v>2026</v>
      </c>
      <c r="AM3" s="328"/>
      <c r="AN3" s="328"/>
      <c r="AO3" s="329" t="s">
        <v>401</v>
      </c>
      <c r="AP3" s="326" t="s">
        <v>400</v>
      </c>
      <c r="AQ3" s="328">
        <f>C3</f>
        <v>2026</v>
      </c>
      <c r="AR3" s="328"/>
      <c r="AS3" s="328"/>
      <c r="AT3" s="329" t="s">
        <v>401</v>
      </c>
      <c r="AU3" s="326" t="s">
        <v>400</v>
      </c>
      <c r="AV3" s="328">
        <f>C3</f>
        <v>2026</v>
      </c>
      <c r="AW3" s="328"/>
      <c r="AX3" s="328"/>
      <c r="AY3" s="329" t="s">
        <v>401</v>
      </c>
      <c r="AZ3" s="358" t="s">
        <v>400</v>
      </c>
      <c r="BA3" s="360">
        <f>C3</f>
        <v>2026</v>
      </c>
      <c r="BB3" s="360"/>
      <c r="BC3" s="360"/>
      <c r="BD3" s="361" t="s">
        <v>401</v>
      </c>
      <c r="BE3" s="326" t="s">
        <v>400</v>
      </c>
      <c r="BF3" s="328">
        <f>C3</f>
        <v>2026</v>
      </c>
      <c r="BG3" s="328"/>
      <c r="BH3" s="328"/>
      <c r="BI3" s="329" t="s">
        <v>401</v>
      </c>
      <c r="BJ3" s="326" t="s">
        <v>400</v>
      </c>
      <c r="BK3" s="328">
        <f>C3</f>
        <v>2026</v>
      </c>
      <c r="BL3" s="328"/>
      <c r="BM3" s="328"/>
      <c r="BN3" s="329" t="s">
        <v>401</v>
      </c>
      <c r="BO3" s="326" t="s">
        <v>400</v>
      </c>
      <c r="BP3" s="328">
        <f>C3</f>
        <v>2026</v>
      </c>
      <c r="BQ3" s="328"/>
      <c r="BR3" s="328"/>
      <c r="BS3" s="329" t="s">
        <v>401</v>
      </c>
      <c r="BT3" s="363" t="s">
        <v>400</v>
      </c>
      <c r="BU3" s="328">
        <f>C3</f>
        <v>2026</v>
      </c>
      <c r="BV3" s="328"/>
      <c r="BW3" s="328"/>
      <c r="BX3" s="329" t="s">
        <v>401</v>
      </c>
      <c r="BY3" s="365" t="s">
        <v>400</v>
      </c>
      <c r="BZ3" s="328">
        <f>C3</f>
        <v>2026</v>
      </c>
      <c r="CA3" s="328"/>
      <c r="CB3" s="328"/>
      <c r="CC3" s="329" t="s">
        <v>401</v>
      </c>
      <c r="CD3" s="367" t="s">
        <v>400</v>
      </c>
      <c r="CE3" s="328">
        <f>C3</f>
        <v>2026</v>
      </c>
      <c r="CF3" s="328"/>
      <c r="CG3" s="328"/>
      <c r="CH3" s="329" t="s">
        <v>401</v>
      </c>
      <c r="CI3" s="30"/>
      <c r="CJ3" s="30"/>
      <c r="CK3" s="369" t="s">
        <v>400</v>
      </c>
      <c r="CL3" s="328">
        <f>C3</f>
        <v>2026</v>
      </c>
      <c r="CM3" s="328"/>
      <c r="CN3" s="328"/>
      <c r="CO3" s="324" t="s">
        <v>401</v>
      </c>
      <c r="CP3" s="326" t="s">
        <v>400</v>
      </c>
      <c r="CQ3" s="360">
        <f>C3</f>
        <v>2026</v>
      </c>
      <c r="CR3" s="360"/>
      <c r="CS3" s="360"/>
      <c r="CT3" s="361" t="s">
        <v>401</v>
      </c>
      <c r="CU3" s="358" t="s">
        <v>400</v>
      </c>
      <c r="CV3" s="360">
        <f>C3</f>
        <v>2026</v>
      </c>
      <c r="CW3" s="360"/>
      <c r="CX3" s="360"/>
      <c r="CY3" s="361" t="s">
        <v>401</v>
      </c>
      <c r="CZ3" s="358" t="s">
        <v>400</v>
      </c>
      <c r="DA3" s="360">
        <f>C3</f>
        <v>2026</v>
      </c>
      <c r="DB3" s="360"/>
      <c r="DC3" s="360"/>
      <c r="DD3" s="361" t="s">
        <v>401</v>
      </c>
    </row>
    <row r="4" spans="1:108" ht="15.75" thickBot="1" x14ac:dyDescent="0.3">
      <c r="A4" s="305"/>
      <c r="B4" s="327"/>
      <c r="C4" s="31" t="s">
        <v>402</v>
      </c>
      <c r="D4" s="31" t="s">
        <v>403</v>
      </c>
      <c r="E4" s="31" t="s">
        <v>404</v>
      </c>
      <c r="F4" s="325"/>
      <c r="G4" s="327"/>
      <c r="H4" s="32" t="s">
        <v>402</v>
      </c>
      <c r="I4" s="32" t="s">
        <v>403</v>
      </c>
      <c r="J4" s="32" t="s">
        <v>404</v>
      </c>
      <c r="K4" s="325"/>
      <c r="L4" s="327"/>
      <c r="M4" s="33" t="s">
        <v>402</v>
      </c>
      <c r="N4" s="33" t="s">
        <v>403</v>
      </c>
      <c r="O4" s="34" t="s">
        <v>404</v>
      </c>
      <c r="P4" s="330"/>
      <c r="Q4" s="327"/>
      <c r="R4" s="33" t="s">
        <v>402</v>
      </c>
      <c r="S4" s="33" t="s">
        <v>403</v>
      </c>
      <c r="T4" s="34" t="s">
        <v>404</v>
      </c>
      <c r="U4" s="330"/>
      <c r="V4" s="327"/>
      <c r="W4" s="33" t="s">
        <v>402</v>
      </c>
      <c r="X4" s="33" t="s">
        <v>403</v>
      </c>
      <c r="Y4" s="34" t="s">
        <v>404</v>
      </c>
      <c r="Z4" s="330"/>
      <c r="AA4" s="327"/>
      <c r="AB4" s="34" t="s">
        <v>402</v>
      </c>
      <c r="AC4" s="34" t="s">
        <v>403</v>
      </c>
      <c r="AD4" s="34" t="s">
        <v>404</v>
      </c>
      <c r="AE4" s="325"/>
      <c r="AF4" s="327"/>
      <c r="AG4" s="33" t="s">
        <v>402</v>
      </c>
      <c r="AH4" s="33" t="s">
        <v>403</v>
      </c>
      <c r="AI4" s="34" t="s">
        <v>404</v>
      </c>
      <c r="AJ4" s="330"/>
      <c r="AK4" s="327"/>
      <c r="AL4" s="33" t="s">
        <v>402</v>
      </c>
      <c r="AM4" s="33" t="s">
        <v>403</v>
      </c>
      <c r="AN4" s="34" t="s">
        <v>404</v>
      </c>
      <c r="AO4" s="330"/>
      <c r="AP4" s="327"/>
      <c r="AQ4" s="33" t="s">
        <v>402</v>
      </c>
      <c r="AR4" s="33" t="s">
        <v>403</v>
      </c>
      <c r="AS4" s="34" t="s">
        <v>404</v>
      </c>
      <c r="AT4" s="330"/>
      <c r="AU4" s="327"/>
      <c r="AV4" s="33" t="s">
        <v>402</v>
      </c>
      <c r="AW4" s="33" t="s">
        <v>403</v>
      </c>
      <c r="AX4" s="34" t="s">
        <v>404</v>
      </c>
      <c r="AY4" s="330"/>
      <c r="AZ4" s="359"/>
      <c r="BA4" s="35" t="s">
        <v>402</v>
      </c>
      <c r="BB4" s="35" t="s">
        <v>403</v>
      </c>
      <c r="BC4" s="35" t="s">
        <v>404</v>
      </c>
      <c r="BD4" s="362"/>
      <c r="BE4" s="327"/>
      <c r="BF4" s="33" t="s">
        <v>402</v>
      </c>
      <c r="BG4" s="33" t="s">
        <v>403</v>
      </c>
      <c r="BH4" s="34" t="s">
        <v>404</v>
      </c>
      <c r="BI4" s="330"/>
      <c r="BJ4" s="327"/>
      <c r="BK4" s="33" t="s">
        <v>402</v>
      </c>
      <c r="BL4" s="33" t="s">
        <v>403</v>
      </c>
      <c r="BM4" s="34" t="s">
        <v>404</v>
      </c>
      <c r="BN4" s="330"/>
      <c r="BO4" s="327"/>
      <c r="BP4" s="33" t="s">
        <v>402</v>
      </c>
      <c r="BQ4" s="33" t="s">
        <v>403</v>
      </c>
      <c r="BR4" s="34" t="s">
        <v>404</v>
      </c>
      <c r="BS4" s="330"/>
      <c r="BT4" s="364"/>
      <c r="BU4" s="33" t="s">
        <v>402</v>
      </c>
      <c r="BV4" s="33" t="s">
        <v>403</v>
      </c>
      <c r="BW4" s="34" t="s">
        <v>404</v>
      </c>
      <c r="BX4" s="330"/>
      <c r="BY4" s="366"/>
      <c r="BZ4" s="33" t="s">
        <v>402</v>
      </c>
      <c r="CA4" s="33" t="s">
        <v>403</v>
      </c>
      <c r="CB4" s="34" t="s">
        <v>404</v>
      </c>
      <c r="CC4" s="330"/>
      <c r="CD4" s="368"/>
      <c r="CE4" s="33" t="s">
        <v>402</v>
      </c>
      <c r="CF4" s="33" t="s">
        <v>403</v>
      </c>
      <c r="CG4" s="34" t="s">
        <v>404</v>
      </c>
      <c r="CH4" s="330"/>
      <c r="CI4" s="30"/>
      <c r="CJ4" s="30"/>
      <c r="CK4" s="370"/>
      <c r="CL4" s="34" t="s">
        <v>402</v>
      </c>
      <c r="CM4" s="34" t="s">
        <v>403</v>
      </c>
      <c r="CN4" s="34" t="s">
        <v>404</v>
      </c>
      <c r="CO4" s="325"/>
      <c r="CP4" s="327"/>
      <c r="CQ4" s="36" t="s">
        <v>402</v>
      </c>
      <c r="CR4" s="36" t="s">
        <v>403</v>
      </c>
      <c r="CS4" s="36" t="s">
        <v>404</v>
      </c>
      <c r="CT4" s="362"/>
      <c r="CU4" s="359"/>
      <c r="CV4" s="36" t="s">
        <v>402</v>
      </c>
      <c r="CW4" s="36" t="s">
        <v>403</v>
      </c>
      <c r="CX4" s="36" t="s">
        <v>404</v>
      </c>
      <c r="CY4" s="362"/>
      <c r="CZ4" s="359"/>
      <c r="DA4" s="36" t="s">
        <v>402</v>
      </c>
      <c r="DB4" s="36" t="s">
        <v>403</v>
      </c>
      <c r="DC4" s="36" t="s">
        <v>404</v>
      </c>
      <c r="DD4" s="362"/>
    </row>
    <row r="5" spans="1:108" ht="15.75" x14ac:dyDescent="0.25">
      <c r="A5" s="37" t="s">
        <v>408</v>
      </c>
      <c r="B5" s="38">
        <f>C5+F5</f>
        <v>214</v>
      </c>
      <c r="C5" s="39">
        <f t="shared" ref="C5:D14" si="0">H5+AB5+AV5+CE5</f>
        <v>66</v>
      </c>
      <c r="D5" s="40">
        <f t="shared" si="0"/>
        <v>5</v>
      </c>
      <c r="E5" s="41">
        <f t="shared" ref="E5:E14" si="1">IFERROR(D5/C5*100,0)</f>
        <v>7.5757575757575761</v>
      </c>
      <c r="F5" s="42">
        <f t="shared" ref="F5:F14" si="2">K5+AE5+AY5+CH5</f>
        <v>148</v>
      </c>
      <c r="G5" s="43">
        <f>H5+K5</f>
        <v>11</v>
      </c>
      <c r="H5" s="44">
        <f>M5+R5+W5</f>
        <v>11</v>
      </c>
      <c r="I5" s="45">
        <f>N5+S5+X5</f>
        <v>5</v>
      </c>
      <c r="J5" s="46">
        <f t="shared" ref="J5:J14" si="3">IFERROR(I5/H5*100,0)</f>
        <v>45.454545454545453</v>
      </c>
      <c r="K5" s="43">
        <f>P5+U5+Z5</f>
        <v>0</v>
      </c>
      <c r="L5" s="47">
        <f>M5+P5</f>
        <v>1</v>
      </c>
      <c r="M5" s="48">
        <f>SUM(M6:M9)</f>
        <v>1</v>
      </c>
      <c r="N5" s="48">
        <f>SUM(N6:N9)</f>
        <v>0</v>
      </c>
      <c r="O5" s="49">
        <f t="shared" ref="O5:O14" si="4">IFERROR(N5/M5*100,0)</f>
        <v>0</v>
      </c>
      <c r="P5" s="42">
        <f>SUM(P6:P9)</f>
        <v>0</v>
      </c>
      <c r="Q5" s="47">
        <f>R5+U5</f>
        <v>1</v>
      </c>
      <c r="R5" s="48">
        <f>SUM(R6:R9)</f>
        <v>1</v>
      </c>
      <c r="S5" s="48">
        <f>SUM(S6:S9)</f>
        <v>0</v>
      </c>
      <c r="T5" s="49">
        <f t="shared" ref="T5:T14" si="5">IFERROR(S5/R5*100,0)</f>
        <v>0</v>
      </c>
      <c r="U5" s="42">
        <f>SUM(U6:U9)</f>
        <v>0</v>
      </c>
      <c r="V5" s="47">
        <f>W5+Z5</f>
        <v>9</v>
      </c>
      <c r="W5" s="48">
        <f>SUM(W6:W9)</f>
        <v>9</v>
      </c>
      <c r="X5" s="48">
        <f>SUM(X6:X9)</f>
        <v>5</v>
      </c>
      <c r="Y5" s="49">
        <f t="shared" ref="Y5:Y14" si="6">IFERROR(X5/W5*100,0)</f>
        <v>55.555555555555557</v>
      </c>
      <c r="Z5" s="43">
        <f>SUM(Z6:Z9)</f>
        <v>0</v>
      </c>
      <c r="AA5" s="38">
        <f>AB5+AE5</f>
        <v>93</v>
      </c>
      <c r="AB5" s="50">
        <f>AG5+AL5+AQ5</f>
        <v>19</v>
      </c>
      <c r="AC5" s="50">
        <f>AH5+AM5+AR5</f>
        <v>0</v>
      </c>
      <c r="AD5" s="51">
        <f>IFERROR(AC5/AB5*100,0)</f>
        <v>0</v>
      </c>
      <c r="AE5" s="52">
        <f>AJ5+AO5+AT5</f>
        <v>74</v>
      </c>
      <c r="AF5" s="48">
        <f>AG5+AJ5</f>
        <v>5</v>
      </c>
      <c r="AG5" s="48">
        <f>SUM(AG6:AG9)</f>
        <v>5</v>
      </c>
      <c r="AH5" s="48">
        <f>SUM(AH6:AH9)</f>
        <v>0</v>
      </c>
      <c r="AI5" s="49">
        <f t="shared" ref="AI5:AI14" si="7">IFERROR(AH5/AG5*100,0)</f>
        <v>0</v>
      </c>
      <c r="AJ5" s="42">
        <f>SUM(AJ6:AJ9)</f>
        <v>0</v>
      </c>
      <c r="AK5" s="47">
        <f>AL5+AO5</f>
        <v>0</v>
      </c>
      <c r="AL5" s="48">
        <f>SUM(AL6:AL9)</f>
        <v>0</v>
      </c>
      <c r="AM5" s="48">
        <f>SUM(AM6:AM9)</f>
        <v>0</v>
      </c>
      <c r="AN5" s="49">
        <f t="shared" ref="AN5:AN14" si="8">IFERROR(AM5/AL5*100,0)</f>
        <v>0</v>
      </c>
      <c r="AO5" s="42">
        <f>SUM(AO6:AO9)</f>
        <v>0</v>
      </c>
      <c r="AP5" s="47">
        <f>AQ5+AT5</f>
        <v>88</v>
      </c>
      <c r="AQ5" s="48">
        <f>SUM(AQ6:AQ9)</f>
        <v>14</v>
      </c>
      <c r="AR5" s="48">
        <f>SUM(AR6:AR9)</f>
        <v>0</v>
      </c>
      <c r="AS5" s="49">
        <f t="shared" ref="AS5:AS14" si="9">IFERROR(AR5/AQ5*100,0)</f>
        <v>0</v>
      </c>
      <c r="AT5" s="43">
        <f>SUM(AT6:AT9)</f>
        <v>74</v>
      </c>
      <c r="AU5" s="38">
        <f t="shared" ref="AU5:AU14" si="10">AV5+AY5</f>
        <v>104</v>
      </c>
      <c r="AV5" s="53">
        <f>BA5+BU5+BZ5</f>
        <v>36</v>
      </c>
      <c r="AW5" s="53">
        <f>BB5+BV5+CA5</f>
        <v>0</v>
      </c>
      <c r="AX5" s="54">
        <f>IFERROR(AW5/AV5*100,0)</f>
        <v>0</v>
      </c>
      <c r="AY5" s="52">
        <f t="shared" ref="AY5:AY14" si="11">BD5+BX5+CC5</f>
        <v>68</v>
      </c>
      <c r="AZ5" s="43">
        <f>BA5+BD5</f>
        <v>5</v>
      </c>
      <c r="BA5" s="55">
        <f>BF5+BK5+BP5</f>
        <v>0</v>
      </c>
      <c r="BB5" s="55">
        <f>BG5+BL5+BQ5</f>
        <v>0</v>
      </c>
      <c r="BC5" s="56">
        <f>IFERROR(BB5/BA5*100,0)</f>
        <v>0</v>
      </c>
      <c r="BD5" s="52">
        <f>BI5+BN5+BS5</f>
        <v>5</v>
      </c>
      <c r="BE5" s="48">
        <f>BF5+BI5</f>
        <v>5</v>
      </c>
      <c r="BF5" s="48">
        <f>SUM(BF6:BF9)</f>
        <v>0</v>
      </c>
      <c r="BG5" s="48">
        <f>SUM(BG6:BG9)</f>
        <v>0</v>
      </c>
      <c r="BH5" s="49">
        <f t="shared" ref="BH5:BH14" si="12">IFERROR(BG5/BF5*100,0)</f>
        <v>0</v>
      </c>
      <c r="BI5" s="42">
        <f>SUM(BI6:BI9)</f>
        <v>5</v>
      </c>
      <c r="BJ5" s="47">
        <f>BK5+BN5</f>
        <v>0</v>
      </c>
      <c r="BK5" s="48">
        <f>SUM(BK6:BK9)</f>
        <v>0</v>
      </c>
      <c r="BL5" s="48">
        <f>SUM(BL6:BL9)</f>
        <v>0</v>
      </c>
      <c r="BM5" s="49">
        <f t="shared" ref="BM5:BM14" si="13">IFERROR(BL5/BK5*100,0)</f>
        <v>0</v>
      </c>
      <c r="BN5" s="42">
        <f>SUM(BN6:BN9)</f>
        <v>0</v>
      </c>
      <c r="BO5" s="47">
        <f>BP5+BS5</f>
        <v>0</v>
      </c>
      <c r="BP5" s="48">
        <f>SUM(BP6:BP9)</f>
        <v>0</v>
      </c>
      <c r="BQ5" s="48">
        <f>SUM(BQ6:BQ9)</f>
        <v>0</v>
      </c>
      <c r="BR5" s="49">
        <f t="shared" ref="BR5:BR14" si="14">IFERROR(BQ5/BP5*100,0)</f>
        <v>0</v>
      </c>
      <c r="BS5" s="42">
        <f>SUM(BS6:BS9)</f>
        <v>0</v>
      </c>
      <c r="BT5" s="47">
        <f>BU5+BX5</f>
        <v>32</v>
      </c>
      <c r="BU5" s="48">
        <f>SUM(BU6:BU9)</f>
        <v>23</v>
      </c>
      <c r="BV5" s="48">
        <f>SUM(BV6:BV9)</f>
        <v>0</v>
      </c>
      <c r="BW5" s="49">
        <f t="shared" ref="BW5:BW14" si="15">IFERROR(BV5/BU5*100,0)</f>
        <v>0</v>
      </c>
      <c r="BX5" s="42">
        <f>SUM(BX6:BX9)</f>
        <v>9</v>
      </c>
      <c r="BY5" s="47">
        <f>BZ5+CC5</f>
        <v>67</v>
      </c>
      <c r="BZ5" s="48">
        <f>SUM(BZ6:BZ9)</f>
        <v>13</v>
      </c>
      <c r="CA5" s="48">
        <f>SUM(CA6:CA9)</f>
        <v>0</v>
      </c>
      <c r="CB5" s="49">
        <f t="shared" ref="CB5:CB14" si="16">IFERROR(CA5/BZ5*100,0)</f>
        <v>0</v>
      </c>
      <c r="CC5" s="42">
        <f>SUM(CC6:CC9)</f>
        <v>54</v>
      </c>
      <c r="CD5" s="47">
        <f>CE5+CH5</f>
        <v>6</v>
      </c>
      <c r="CE5" s="189">
        <f>COUNTIFS('2026'!$J$1:$J$741,"определение собственника",'2026'!$L$1:$L$741,"2023",'2026'!$Q$1:$Q$741,"бесхозяйное")</f>
        <v>0</v>
      </c>
      <c r="CF5" s="189">
        <f>COUNTIFS('2026'!$J$1:$J$741,"определение собственника",'2026'!$L$1:$L$741,"2023",'2026'!$Q$1:$Q$741,"бесхозяйное",'2026'!$P$1:$P$741,"определен")</f>
        <v>0</v>
      </c>
      <c r="CG5" s="49">
        <f t="shared" ref="CG5:CG10" si="17">IFERROR(CF5/CE5*100,0)</f>
        <v>0</v>
      </c>
      <c r="CH5" s="190">
        <f>COUNTIFS('2026'!$J$1:$J$741,"определение собственника",'2026'!$L$1:$L$741,"&gt;2023",'2026'!$Q$1:$Q$741,"бесхозяйное")</f>
        <v>6</v>
      </c>
      <c r="CI5" s="57"/>
      <c r="CJ5" s="57"/>
      <c r="CK5" s="38">
        <f>CL5+CO5</f>
        <v>98</v>
      </c>
      <c r="CL5" s="58">
        <f>CQ5+CV5+DA5</f>
        <v>19</v>
      </c>
      <c r="CM5" s="59">
        <f>CR5+CW5+DB5</f>
        <v>0</v>
      </c>
      <c r="CN5" s="60">
        <f>IFERROR(CM5/CL5*100,0)</f>
        <v>0</v>
      </c>
      <c r="CO5" s="42">
        <f>CT5+CY5+DD5</f>
        <v>79</v>
      </c>
      <c r="CP5" s="38">
        <f>CQ5+CT5</f>
        <v>10</v>
      </c>
      <c r="CQ5" s="61">
        <f>SUM(CQ6:CQ9)</f>
        <v>5</v>
      </c>
      <c r="CR5" s="61">
        <f>SUM(CR6:CR9)</f>
        <v>0</v>
      </c>
      <c r="CS5" s="62">
        <f>IFERROR(CR5/CQ5*100,0)</f>
        <v>0</v>
      </c>
      <c r="CT5" s="42">
        <f>SUM(CT6:CT9)</f>
        <v>5</v>
      </c>
      <c r="CU5" s="38">
        <f>CV5+CY5</f>
        <v>0</v>
      </c>
      <c r="CV5" s="61">
        <f>SUM(CV6:CV9)</f>
        <v>0</v>
      </c>
      <c r="CW5" s="61">
        <f>SUM(CW6:CW9)</f>
        <v>0</v>
      </c>
      <c r="CX5" s="62">
        <f>IFERROR(CW5/CV5*100,0)</f>
        <v>0</v>
      </c>
      <c r="CY5" s="42">
        <f>SUM(CY6:CY9)</f>
        <v>0</v>
      </c>
      <c r="CZ5" s="38">
        <f>DA5+DD5</f>
        <v>88</v>
      </c>
      <c r="DA5" s="61">
        <f>SUM(DA6:DA9)</f>
        <v>14</v>
      </c>
      <c r="DB5" s="61">
        <f>SUM(DB6:DB9)</f>
        <v>0</v>
      </c>
      <c r="DC5" s="62">
        <f>IFERROR(DB5/DA5*100,0)</f>
        <v>0</v>
      </c>
      <c r="DD5" s="42">
        <f>SUM(DD6:DD9)</f>
        <v>74</v>
      </c>
    </row>
    <row r="6" spans="1:108" ht="15.75" x14ac:dyDescent="0.25">
      <c r="A6" s="63" t="s">
        <v>9</v>
      </c>
      <c r="B6" s="64">
        <f t="shared" ref="B6:B8" si="18">C6+F6</f>
        <v>52</v>
      </c>
      <c r="C6" s="65">
        <f t="shared" si="0"/>
        <v>38</v>
      </c>
      <c r="D6" s="66">
        <f t="shared" si="0"/>
        <v>5</v>
      </c>
      <c r="E6" s="67">
        <f t="shared" si="1"/>
        <v>13.157894736842104</v>
      </c>
      <c r="F6" s="68">
        <f t="shared" si="2"/>
        <v>14</v>
      </c>
      <c r="G6" s="69">
        <f t="shared" ref="G6:G9" si="19">H6+K6</f>
        <v>10</v>
      </c>
      <c r="H6" s="70">
        <f t="shared" ref="H6:I9" si="20">M6+R6+W6</f>
        <v>10</v>
      </c>
      <c r="I6" s="71">
        <f t="shared" si="20"/>
        <v>5</v>
      </c>
      <c r="J6" s="72">
        <f t="shared" si="3"/>
        <v>50</v>
      </c>
      <c r="K6" s="69">
        <f t="shared" ref="K6:K9" si="21">P6+U6+Z6</f>
        <v>0</v>
      </c>
      <c r="L6" s="73">
        <f t="shared" ref="L6:L9" si="22">M6+P6</f>
        <v>1</v>
      </c>
      <c r="M6" s="74">
        <f>COUNTIFS('2026'!$J$1:$J$745,"продажа",'2026'!$L$1:$L$745,"2026",'2026'!$Q$1:$Q$745,"республика")</f>
        <v>1</v>
      </c>
      <c r="N6" s="74">
        <f>COUNTIFS('2026'!$J$1:$J$745,"продажа",'2026'!$L$1:$L$745,"2026",'2026'!$Q$1:$Q$745,"республика",'2026'!$P$1:$P$745,"продан")</f>
        <v>0</v>
      </c>
      <c r="O6" s="75">
        <f t="shared" si="4"/>
        <v>0</v>
      </c>
      <c r="P6" s="76">
        <f>COUNTIFS('2026'!$J$1:$J$745,"продажа",'2026'!$L$1:$L$745,"&gt;2026",'2026'!$Q$1:$Q$745,"республика")</f>
        <v>0</v>
      </c>
      <c r="Q6" s="73">
        <f t="shared" ref="Q6:Q9" si="23">R6+U6</f>
        <v>1</v>
      </c>
      <c r="R6" s="74">
        <f>COUNTIFS('2026'!$J$1:$J$745,"продажа",'2026'!$L$1:$L$745,"2026",'2026'!$Q$1:$Q$745,"область")</f>
        <v>1</v>
      </c>
      <c r="S6" s="74">
        <f>COUNTIFS('2026'!$J$1:$J$745,"продажа",'2026'!$L$1:$L$745,"2026",'2026'!$Q$1:$Q$745,"область",'2026'!$P$1:$P$745,"продан")</f>
        <v>0</v>
      </c>
      <c r="T6" s="75">
        <f t="shared" si="5"/>
        <v>0</v>
      </c>
      <c r="U6" s="76">
        <f>COUNTIFS('2026'!$J$1:$J$745,"продажа",'2026'!$L$1:$L$745,"&gt;2026",'2026'!$Q$1:$Q$745,"область")</f>
        <v>0</v>
      </c>
      <c r="V6" s="73">
        <f t="shared" ref="V6:V9" si="24">W6+Z6</f>
        <v>8</v>
      </c>
      <c r="W6" s="74">
        <f>COUNTIFS('2026'!$J$1:$J$745,"продажа",'2026'!$L$1:$L$745,"2026",'2026'!$Q$1:$Q$745,"район")</f>
        <v>8</v>
      </c>
      <c r="X6" s="74">
        <f>COUNTIFS('2026'!$J$1:$J$745,"продажа",'2026'!$L$1:$L$745,"2026",'2026'!$Q$1:$Q$745,"район",'2026'!$P$1:$P$745,"продан")</f>
        <v>5</v>
      </c>
      <c r="Y6" s="75">
        <f t="shared" si="6"/>
        <v>62.5</v>
      </c>
      <c r="Z6" s="77">
        <f>COUNTIFS('2026'!$J$1:$J$745,"продажа",'2026'!$L$1:$L$745,"&gt;2026",'2026'!$Q$1:$Q$745,"район")</f>
        <v>0</v>
      </c>
      <c r="AA6" s="78">
        <f t="shared" ref="AA6:AA9" si="25">AB6+AE6</f>
        <v>5</v>
      </c>
      <c r="AB6" s="79">
        <f>AG6+AL6+AQ6</f>
        <v>3</v>
      </c>
      <c r="AC6" s="79">
        <f>AH6+AM6+AR6</f>
        <v>0</v>
      </c>
      <c r="AD6" s="80">
        <f t="shared" ref="AD6:AD9" si="26">IFERROR(AC6/AB6*100,0)</f>
        <v>0</v>
      </c>
      <c r="AE6" s="81">
        <f>AJ6+AO6+AT6</f>
        <v>2</v>
      </c>
      <c r="AF6" s="74">
        <f t="shared" ref="AF6:AF9" si="27">AG6+AJ6</f>
        <v>2</v>
      </c>
      <c r="AG6" s="74">
        <f>COUNTIFS('2026'!$J$1:$J$745,"продажа",'2026'!$L$1:$L$745,"2026",'2026'!$Q$1:$Q$745,"республика50б")</f>
        <v>2</v>
      </c>
      <c r="AH6" s="74">
        <f>COUNTIFS('2026'!$J$1:$J$745,"продажа",'2026'!$L$1:$L$745,"2026",'2026'!$Q$1:$Q$745,"республика50б",'2026'!$P$1:$P$745,"продан")</f>
        <v>0</v>
      </c>
      <c r="AI6" s="75">
        <f t="shared" si="7"/>
        <v>0</v>
      </c>
      <c r="AJ6" s="76">
        <f>COUNTIFS('2026'!$J$1:$J$745,"продажа",'2026'!$L$1:$L$745,"&gt;2026",'2026'!$Q$1:$Q$745,"республика50б")</f>
        <v>0</v>
      </c>
      <c r="AK6" s="73">
        <f t="shared" ref="AK6:AK9" si="28">AL6+AO6</f>
        <v>0</v>
      </c>
      <c r="AL6" s="74">
        <f>COUNTIFS('2026'!$J$1:$J$745,"продажа",'2026'!$L$1:$L$745,"2026",'2026'!$Q$1:$Q$745,"область50б")</f>
        <v>0</v>
      </c>
      <c r="AM6" s="74">
        <f>COUNTIFS('2026'!$J$1:$J$745,"продажа",'2026'!$L$1:$L$745,"2026",'2026'!$Q$1:$Q$745,"область50б",'2026'!$P$1:$P$745,"продан")</f>
        <v>0</v>
      </c>
      <c r="AN6" s="75">
        <f t="shared" si="8"/>
        <v>0</v>
      </c>
      <c r="AO6" s="76">
        <f>COUNTIFS('2026'!$J$1:$J$745,"продажа",'2026'!$L$1:$L$745,"&gt;2026",'2026'!$Q$1:$Q$745,"область50б")</f>
        <v>0</v>
      </c>
      <c r="AP6" s="73">
        <f t="shared" ref="AP6:AP9" si="29">AQ6+AT6</f>
        <v>3</v>
      </c>
      <c r="AQ6" s="74">
        <f>COUNTIFS('2026'!$J$1:$J$745,"продажа",'2026'!$L$1:$L$745,"2026",'2026'!$Q$1:$Q$745,"район50б")</f>
        <v>1</v>
      </c>
      <c r="AR6" s="74">
        <f>COUNTIFS('2026'!$J$1:$J$745,"продажа",'2026'!$L$1:$L$745,"2026",'2026'!$Q$1:$Q$745,"район50б",'2026'!$P$1:$P$745,"продан")</f>
        <v>0</v>
      </c>
      <c r="AS6" s="75">
        <f t="shared" si="9"/>
        <v>0</v>
      </c>
      <c r="AT6" s="77">
        <f>COUNTIFS('2026'!$J$1:$J$745,"продажа",'2026'!$L$1:$L$745,"&gt;2026",'2026'!$Q$1:$Q$745,"район50б")</f>
        <v>2</v>
      </c>
      <c r="AU6" s="82">
        <f t="shared" si="10"/>
        <v>37</v>
      </c>
      <c r="AV6" s="83">
        <f>BA6+BU6+BZ6</f>
        <v>25</v>
      </c>
      <c r="AW6" s="83">
        <f t="shared" ref="AV6:AW9" si="30">BB6+BV6+CA6</f>
        <v>0</v>
      </c>
      <c r="AX6" s="84">
        <f t="shared" ref="AX6:AX9" si="31">IFERROR(AW6/AV6*100,0)</f>
        <v>0</v>
      </c>
      <c r="AY6" s="85">
        <f t="shared" si="11"/>
        <v>12</v>
      </c>
      <c r="AZ6" s="86">
        <f>BA6+BD6</f>
        <v>5</v>
      </c>
      <c r="BA6" s="87">
        <f>BF6+BK6+BP6</f>
        <v>0</v>
      </c>
      <c r="BB6" s="87">
        <f>BG6+BL6+BQ6</f>
        <v>0</v>
      </c>
      <c r="BC6" s="88">
        <f t="shared" ref="BC6:BC9" si="32">IFERROR(BB6/BA6*100,0)</f>
        <v>0</v>
      </c>
      <c r="BD6" s="85">
        <f>BI6+BN6+BS6</f>
        <v>5</v>
      </c>
      <c r="BE6" s="74">
        <f t="shared" ref="BE6:BE9" si="33">BF6+BI6</f>
        <v>5</v>
      </c>
      <c r="BF6" s="74">
        <f>COUNTIFS('2026'!$J$1:$J$745,"продажа",'2026'!$L$1:$L$745,"2026",'2026'!$Q$1:$Q$745,"республика50м")</f>
        <v>0</v>
      </c>
      <c r="BG6" s="74">
        <f>COUNTIFS('2026'!$J$1:$J$745,"продажа",'2026'!$L$1:$L$745,"2026",'2026'!$Q$1:$Q$745,"республика50м",'2026'!$P$1:$P$745,"продан")</f>
        <v>0</v>
      </c>
      <c r="BH6" s="75">
        <f t="shared" si="12"/>
        <v>0</v>
      </c>
      <c r="BI6" s="76">
        <f>COUNTIFS('2026'!$J$1:$J$745,"продажа",'2026'!$L$1:$L$745,"&gt;2026",'2026'!$Q$1:$Q$745,"республика50м")</f>
        <v>5</v>
      </c>
      <c r="BJ6" s="73">
        <f t="shared" ref="BJ6:BJ9" si="34">BK6+BN6</f>
        <v>0</v>
      </c>
      <c r="BK6" s="74">
        <f>COUNTIFS('2026'!$J$1:$J$745,"продажа",'2026'!$L$1:$L$745,"2026",'2026'!$Q$1:$Q$745,"область50м")</f>
        <v>0</v>
      </c>
      <c r="BL6" s="74">
        <f>COUNTIFS('2026'!$J$1:$J$745,"продажа",'2026'!$L$1:$L$745,"2026",'2026'!$Q$1:$Q$745,"область50м",'2026'!$P$1:$P$745,"продан")</f>
        <v>0</v>
      </c>
      <c r="BM6" s="75">
        <f t="shared" si="13"/>
        <v>0</v>
      </c>
      <c r="BN6" s="76">
        <f>COUNTIFS('2026'!$J$1:$J$745,"продажа",'2026'!$L$1:$L$745,"&gt;2026",'2026'!$Q$1:$Q$745,"область50м")</f>
        <v>0</v>
      </c>
      <c r="BO6" s="73">
        <f t="shared" ref="BO6:BO9" si="35">BP6+BS6</f>
        <v>0</v>
      </c>
      <c r="BP6" s="74">
        <f>COUNTIFS('2026'!$J$1:$J$745,"продажа",'2026'!$L$1:$L$745,"2026",'2026'!$Q$1:$Q$745,"район50м")</f>
        <v>0</v>
      </c>
      <c r="BQ6" s="74">
        <f>COUNTIFS('2026'!$J$1:$J$745,"продажа",'2026'!$L$1:$L$745,"2026",'2026'!$Q$1:$Q$745,"район50м",'2026'!$P$1:$P$745,"продан")</f>
        <v>0</v>
      </c>
      <c r="BR6" s="75">
        <f t="shared" si="14"/>
        <v>0</v>
      </c>
      <c r="BS6" s="76">
        <f>COUNTIFS('2026'!$J$1:$J$745,"продажа",'2026'!$L$1:$L$745,"&gt;2026",'2026'!$Q$1:$Q$745,"район50м")</f>
        <v>0</v>
      </c>
      <c r="BT6" s="73">
        <f t="shared" ref="BT6:BT9" si="36">BU6+BX6</f>
        <v>29</v>
      </c>
      <c r="BU6" s="74">
        <f>COUNTIFS('2026'!$J$1:$J$745,"продажа",'2026'!$L$1:$L$745,"2026",'2026'!$Q$1:$Q$745,"райпо")</f>
        <v>22</v>
      </c>
      <c r="BV6" s="74">
        <f>COUNTIFS('2026'!$J$1:$J$745,"продажа",'2026'!$L$1:$L$745,"2026",'2026'!$Q$1:$Q$745,"райпо",'2026'!$P$1:$P$745,"продан")</f>
        <v>0</v>
      </c>
      <c r="BW6" s="75">
        <f t="shared" si="15"/>
        <v>0</v>
      </c>
      <c r="BX6" s="76">
        <f>COUNTIFS('2026'!$J$1:$J$745,"продажа",'2026'!$L$1:$L$745,"&gt;2026",'2026'!$Q$1:$Q$745,"райпо")</f>
        <v>7</v>
      </c>
      <c r="BY6" s="73">
        <f t="shared" ref="BY6:BY9" si="37">BZ6+CC6</f>
        <v>3</v>
      </c>
      <c r="BZ6" s="74">
        <f>COUNTIFS('2026'!$J$1:$J$745,"продажа",'2026'!$L$1:$L$745,"2026",'2026'!$Q$1:$Q$745,"инаяч")</f>
        <v>3</v>
      </c>
      <c r="CA6" s="74">
        <f>COUNTIFS('2026'!$J$1:$J$745,"продажа",'2026'!$L$1:$L$745,"2026",'2026'!$Q$1:$Q$745,"инаяч",'2026'!$P$1:$P$745,"продан")</f>
        <v>0</v>
      </c>
      <c r="CB6" s="75">
        <f t="shared" si="16"/>
        <v>0</v>
      </c>
      <c r="CC6" s="76">
        <f>COUNTIFS('2026'!$J$1:$J$745,"продажа",'2026'!$L$1:$L$745,"&gt;2026",'2026'!$Q$1:$Q$745,"инаяч")</f>
        <v>0</v>
      </c>
      <c r="CD6" s="73"/>
      <c r="CE6" s="74"/>
      <c r="CF6" s="74">
        <f>COUNTIFS('2026'!$J$1:$J$741,"определение собственника",'2026'!$L$1:$L$741,"2026",'2026'!$Q$1:$Q$741,"бесхозяйное",'2026'!$P$1:$P$741,"учет")</f>
        <v>0</v>
      </c>
      <c r="CG6" s="75"/>
      <c r="CH6" s="76"/>
      <c r="CI6" s="89"/>
      <c r="CJ6" s="89"/>
      <c r="CK6" s="64">
        <f t="shared" ref="CK6:CK9" si="38">CL6+CO6</f>
        <v>10</v>
      </c>
      <c r="CL6" s="90">
        <f>CQ6+CV6+DA6</f>
        <v>3</v>
      </c>
      <c r="CM6" s="91">
        <f>CR6+CW6+DB6</f>
        <v>0</v>
      </c>
      <c r="CN6" s="92">
        <f t="shared" ref="CN6:CN9" si="39">IFERROR(CM6/CL6*100,0)</f>
        <v>0</v>
      </c>
      <c r="CO6" s="68">
        <f>CT6+CY6+DD6</f>
        <v>7</v>
      </c>
      <c r="CP6" s="64">
        <f t="shared" ref="CP6:CP9" si="40">CQ6+CT6</f>
        <v>7</v>
      </c>
      <c r="CQ6" s="93">
        <f t="shared" ref="CQ6:CR9" si="41">AG6+BF6</f>
        <v>2</v>
      </c>
      <c r="CR6" s="94">
        <f t="shared" si="41"/>
        <v>0</v>
      </c>
      <c r="CS6" s="95">
        <f t="shared" ref="CS6:CS9" si="42">IFERROR(CR6/CQ6*100,0)</f>
        <v>0</v>
      </c>
      <c r="CT6" s="96">
        <f>AJ6+BI6</f>
        <v>5</v>
      </c>
      <c r="CU6" s="97">
        <f t="shared" ref="CU6:CU9" si="43">CV6+CY6</f>
        <v>0</v>
      </c>
      <c r="CV6" s="93">
        <f t="shared" ref="CV6:CW9" si="44">AL6+BK6</f>
        <v>0</v>
      </c>
      <c r="CW6" s="94">
        <f t="shared" si="44"/>
        <v>0</v>
      </c>
      <c r="CX6" s="95">
        <f t="shared" ref="CX6:CX9" si="45">IFERROR(CW6/CV6*100,0)</f>
        <v>0</v>
      </c>
      <c r="CY6" s="96">
        <f>AO6+BN6</f>
        <v>0</v>
      </c>
      <c r="CZ6" s="97">
        <f t="shared" ref="CZ6:CZ9" si="46">DA6+DD6</f>
        <v>3</v>
      </c>
      <c r="DA6" s="93">
        <f t="shared" ref="DA6:DB9" si="47">AQ6+BP6</f>
        <v>1</v>
      </c>
      <c r="DB6" s="94">
        <f t="shared" si="47"/>
        <v>0</v>
      </c>
      <c r="DC6" s="95">
        <f t="shared" ref="DC6:DC9" si="48">IFERROR(DB6/DA6*100,0)</f>
        <v>0</v>
      </c>
      <c r="DD6" s="68">
        <f>AT6+BS6</f>
        <v>2</v>
      </c>
    </row>
    <row r="7" spans="1:108" s="110" customFormat="1" ht="15.75" x14ac:dyDescent="0.25">
      <c r="A7" s="63" t="s">
        <v>61</v>
      </c>
      <c r="B7" s="64">
        <f t="shared" si="18"/>
        <v>6</v>
      </c>
      <c r="C7" s="65">
        <f t="shared" si="0"/>
        <v>4</v>
      </c>
      <c r="D7" s="66">
        <f t="shared" si="0"/>
        <v>0</v>
      </c>
      <c r="E7" s="67">
        <f t="shared" si="1"/>
        <v>0</v>
      </c>
      <c r="F7" s="68">
        <f t="shared" si="2"/>
        <v>2</v>
      </c>
      <c r="G7" s="69">
        <f t="shared" si="19"/>
        <v>0</v>
      </c>
      <c r="H7" s="70">
        <f t="shared" si="20"/>
        <v>0</v>
      </c>
      <c r="I7" s="71">
        <f t="shared" si="20"/>
        <v>0</v>
      </c>
      <c r="J7" s="72">
        <f t="shared" si="3"/>
        <v>0</v>
      </c>
      <c r="K7" s="69">
        <f t="shared" si="21"/>
        <v>0</v>
      </c>
      <c r="L7" s="98">
        <f t="shared" si="22"/>
        <v>0</v>
      </c>
      <c r="M7" s="99">
        <f>COUNTIFS('2026'!$J$1:$J$745,"аренда",'2026'!$L$1:$L$745,"2026",'2026'!$Q$1:$Q$745,"республика")</f>
        <v>0</v>
      </c>
      <c r="N7" s="99">
        <f>COUNTIFS('2026'!$J$1:$J$745,"аренда",'2026'!$L$1:$L$745,"2026",'2026'!$Q$1:$Q$745,"республика",'2026'!$P$1:$P$745,"арендован")</f>
        <v>0</v>
      </c>
      <c r="O7" s="100">
        <f t="shared" si="4"/>
        <v>0</v>
      </c>
      <c r="P7" s="101">
        <f>COUNTIFS('2026'!$J$1:$J$745,"аренда",'2026'!$L$1:$L$745,"&gt;2026",'2026'!$Q$1:$Q$745,"республика")</f>
        <v>0</v>
      </c>
      <c r="Q7" s="98">
        <f t="shared" si="23"/>
        <v>0</v>
      </c>
      <c r="R7" s="99">
        <f>COUNTIFS('2026'!$J$1:$J$745,"аренда",'2026'!$L$1:$L$745,"2026",'2026'!$Q$1:$Q$745,"область")</f>
        <v>0</v>
      </c>
      <c r="S7" s="99">
        <f>COUNTIFS('2026'!$J$1:$J$745,"аренда",'2026'!$L$1:$L$745,"2026",'2026'!$Q$1:$Q$745,"область",'2026'!$P$1:$P$745,"арендован")</f>
        <v>0</v>
      </c>
      <c r="T7" s="100">
        <f t="shared" si="5"/>
        <v>0</v>
      </c>
      <c r="U7" s="101">
        <f>COUNTIFS('2026'!$J$1:$J$745,"аренда",'2026'!$L$1:$L$745,"&gt;2026",'2026'!$Q$1:$Q$745,"область")</f>
        <v>0</v>
      </c>
      <c r="V7" s="98">
        <f t="shared" si="24"/>
        <v>0</v>
      </c>
      <c r="W7" s="99">
        <f>COUNTIFS('2026'!$J$1:$J$745,"аренда",'2026'!$L$1:$L$745,"2026",'2026'!$Q$1:$Q$745,"район")</f>
        <v>0</v>
      </c>
      <c r="X7" s="99">
        <f>COUNTIFS('2026'!$J$1:$J$745,"аренда",'2026'!$L$1:$L$745,"2026",'2026'!$Q$1:$Q$745,"район",'2026'!$P$1:$P$745,"арендован")</f>
        <v>0</v>
      </c>
      <c r="Y7" s="100">
        <f t="shared" si="6"/>
        <v>0</v>
      </c>
      <c r="Z7" s="102">
        <f>COUNTIFS('2026'!$J$1:$J$745,"аренда",'2026'!$L$1:$L$745,"&gt;2026",'2026'!$Q$1:$Q$745,"район")</f>
        <v>0</v>
      </c>
      <c r="AA7" s="78">
        <f t="shared" si="25"/>
        <v>3</v>
      </c>
      <c r="AB7" s="79">
        <f t="shared" ref="AB7:AC9" si="49">AG7+AL7+AQ7</f>
        <v>3</v>
      </c>
      <c r="AC7" s="79">
        <f t="shared" si="49"/>
        <v>0</v>
      </c>
      <c r="AD7" s="80">
        <f t="shared" si="26"/>
        <v>0</v>
      </c>
      <c r="AE7" s="81">
        <f t="shared" ref="AE7:AE9" si="50">AJ7+AO7+AT7</f>
        <v>0</v>
      </c>
      <c r="AF7" s="99">
        <f t="shared" si="27"/>
        <v>2</v>
      </c>
      <c r="AG7" s="99">
        <f>COUNTIFS('2026'!$J$1:$J$745,"аренда",'2026'!$L$1:$L$745,"2026",'2026'!$Q$1:$Q$745,"республика50б")</f>
        <v>2</v>
      </c>
      <c r="AH7" s="99">
        <f>COUNTIFS('2026'!$J$1:$J$745,"аренда",'2026'!$L$1:$L$745,"2026",'2026'!$Q$1:$Q$745,"республика50б",'2026'!$P$1:$P$745,"арендован")</f>
        <v>0</v>
      </c>
      <c r="AI7" s="100">
        <f t="shared" si="7"/>
        <v>0</v>
      </c>
      <c r="AJ7" s="101">
        <f>COUNTIFS('2026'!$J$1:$J$745,"аренда",'2026'!$L$1:$L$745,"&gt;2026",'2026'!$Q$1:$Q$745,"республика50б")</f>
        <v>0</v>
      </c>
      <c r="AK7" s="98">
        <f t="shared" si="28"/>
        <v>0</v>
      </c>
      <c r="AL7" s="99">
        <f>COUNTIFS('2026'!$J$1:$J$745,"аренда",'2026'!$L$1:$L$745,"2026",'2026'!$Q$1:$Q$745,"область50б")</f>
        <v>0</v>
      </c>
      <c r="AM7" s="99">
        <f>COUNTIFS('2026'!$J$1:$J$745,"аренда",'2026'!$L$1:$L$745,"2026",'2026'!$Q$1:$Q$745,"область50б",'2026'!$P$1:$P$745,"арендован")</f>
        <v>0</v>
      </c>
      <c r="AN7" s="100">
        <f t="shared" si="8"/>
        <v>0</v>
      </c>
      <c r="AO7" s="101">
        <f>COUNTIFS('2026'!$J$1:$J$745,"аренда",'2026'!$L$1:$L$745,"&gt;2026",'2026'!$Q$1:$Q$745,"область50б")</f>
        <v>0</v>
      </c>
      <c r="AP7" s="98">
        <f t="shared" si="29"/>
        <v>1</v>
      </c>
      <c r="AQ7" s="99">
        <f>COUNTIFS('2026'!$J$1:$J$745,"аренда",'2026'!$L$1:$L$745,"2026",'2026'!$Q$1:$Q$745,"район50б")</f>
        <v>1</v>
      </c>
      <c r="AR7" s="99">
        <f>COUNTIFS('2026'!$J$1:$J$745,"аренда",'2026'!$L$1:$L$745,"2026",'2026'!$Q$1:$Q$745,"район50б",'2026'!$P$1:$P$745,"арендован")</f>
        <v>0</v>
      </c>
      <c r="AS7" s="100">
        <f t="shared" si="9"/>
        <v>0</v>
      </c>
      <c r="AT7" s="102">
        <f>COUNTIFS('2026'!$J$1:$J$745,"аренда",'2026'!$L$1:$L$745,"&gt;2026",'2026'!$Q$1:$Q$745,"район50б")</f>
        <v>0</v>
      </c>
      <c r="AU7" s="103">
        <f t="shared" si="10"/>
        <v>3</v>
      </c>
      <c r="AV7" s="104">
        <f t="shared" si="30"/>
        <v>1</v>
      </c>
      <c r="AW7" s="104">
        <f t="shared" si="30"/>
        <v>0</v>
      </c>
      <c r="AX7" s="105">
        <f t="shared" si="31"/>
        <v>0</v>
      </c>
      <c r="AY7" s="106">
        <f t="shared" si="11"/>
        <v>2</v>
      </c>
      <c r="AZ7" s="107">
        <f t="shared" ref="AZ7:AZ9" si="51">BA7+BD7</f>
        <v>0</v>
      </c>
      <c r="BA7" s="108">
        <f t="shared" ref="BA7:BB9" si="52">BF7+BK7+BP7</f>
        <v>0</v>
      </c>
      <c r="BB7" s="108">
        <f t="shared" si="52"/>
        <v>0</v>
      </c>
      <c r="BC7" s="109">
        <f t="shared" si="32"/>
        <v>0</v>
      </c>
      <c r="BD7" s="106">
        <f t="shared" ref="BD7:BD9" si="53">BI7+BN7+BS7</f>
        <v>0</v>
      </c>
      <c r="BE7" s="99">
        <f t="shared" si="33"/>
        <v>0</v>
      </c>
      <c r="BF7" s="99">
        <f>COUNTIFS('2026'!$J$1:$J$745,"аренда",'2026'!$L$1:$L$745,"2026",'2026'!$Q$1:$Q$745,"республика50м")</f>
        <v>0</v>
      </c>
      <c r="BG7" s="99">
        <f>COUNTIFS('2026'!$J$1:$J$745,"аренда",'2026'!$L$1:$L$745,"2026",'2026'!$Q$1:$Q$745,"республика50м",'2026'!$P$1:$P$745,"арендован")</f>
        <v>0</v>
      </c>
      <c r="BH7" s="100">
        <f t="shared" si="12"/>
        <v>0</v>
      </c>
      <c r="BI7" s="101">
        <f>COUNTIFS('2026'!$J$1:$J$745,"аренда",'2026'!$L$1:$L$745,"&gt;2026",'2026'!$Q$1:$Q$745,"республика50м")</f>
        <v>0</v>
      </c>
      <c r="BJ7" s="98">
        <f t="shared" si="34"/>
        <v>0</v>
      </c>
      <c r="BK7" s="99">
        <f>COUNTIFS('2026'!$J$1:$J$745,"аренда",'2026'!$L$1:$L$745,"2026",'2026'!$Q$1:$Q$745,"область50м")</f>
        <v>0</v>
      </c>
      <c r="BL7" s="99">
        <f>COUNTIFS('2026'!$J$1:$J$745,"аренда",'2026'!$L$1:$L$745,"2026",'2026'!$Q$1:$Q$745,"область50м",'2026'!$P$1:$P$745,"арендован")</f>
        <v>0</v>
      </c>
      <c r="BM7" s="100">
        <f t="shared" si="13"/>
        <v>0</v>
      </c>
      <c r="BN7" s="101">
        <f>COUNTIFS('2026'!$J$1:$J$745,"аренда",'2026'!$L$1:$L$745,"&gt;2026",'2026'!$Q$1:$Q$745,"область50м")</f>
        <v>0</v>
      </c>
      <c r="BO7" s="98">
        <f t="shared" si="35"/>
        <v>0</v>
      </c>
      <c r="BP7" s="99">
        <f>COUNTIFS('2026'!$J$1:$J$745,"аренда",'2026'!$L$1:$L$745,"2026",'2026'!$Q$1:$Q$745,"район50м")</f>
        <v>0</v>
      </c>
      <c r="BQ7" s="99">
        <f>COUNTIFS('2026'!$J$1:$J$745,"аренда",'2026'!$L$1:$L$745,"2026",'2026'!$Q$1:$Q$745,"район50м",'2026'!$P$1:$P$745,"арендован")</f>
        <v>0</v>
      </c>
      <c r="BR7" s="100">
        <f t="shared" si="14"/>
        <v>0</v>
      </c>
      <c r="BS7" s="101">
        <f>COUNTIFS('2026'!$J$1:$J$745,"аренда",'2026'!$L$1:$L$745,"&gt;2026",'2026'!$Q$1:$Q$745,"район50м")</f>
        <v>0</v>
      </c>
      <c r="BT7" s="98">
        <f t="shared" si="36"/>
        <v>3</v>
      </c>
      <c r="BU7" s="99">
        <f>COUNTIFS('2026'!$J$1:$J$745,"аренда",'2026'!$L$1:$L$745,"2026",'2026'!$Q$1:$Q$745,"райпо")</f>
        <v>1</v>
      </c>
      <c r="BV7" s="99">
        <f>COUNTIFS('2026'!$J$1:$J$745,"аренда",'2026'!$L$1:$L$745,"2026",'2026'!$Q$1:$Q$745,"райпо",'2026'!$P$1:$P$745,"арендован")</f>
        <v>0</v>
      </c>
      <c r="BW7" s="100">
        <f t="shared" si="15"/>
        <v>0</v>
      </c>
      <c r="BX7" s="101">
        <f>COUNTIFS('2026'!$J$1:$J$745,"аренда",'2026'!$L$1:$L$745,"&gt;2026",'2026'!$Q$1:$Q$745,"райпо")</f>
        <v>2</v>
      </c>
      <c r="BY7" s="98">
        <f t="shared" si="37"/>
        <v>0</v>
      </c>
      <c r="BZ7" s="99">
        <f>COUNTIFS('2026'!$J$1:$J$745,"аренда",'2026'!$L$1:$L$745,"2026",'2026'!$Q$1:$Q$745,"инаяч")</f>
        <v>0</v>
      </c>
      <c r="CA7" s="99">
        <f>COUNTIFS('2026'!$J$1:$J$745,"аренда",'2026'!$L$1:$L$745,"2026",'2026'!$Q$1:$Q$745,"инаяч",'2026'!$P$1:$P$745,"арендован")</f>
        <v>0</v>
      </c>
      <c r="CB7" s="100">
        <f t="shared" si="16"/>
        <v>0</v>
      </c>
      <c r="CC7" s="101">
        <f>COUNTIFS('2026'!$J$1:$J$745,"аренда",'2026'!$L$1:$L$745,"&gt;2026",'2026'!$Q$1:$Q$745,"инаяч")</f>
        <v>0</v>
      </c>
      <c r="CD7" s="98"/>
      <c r="CE7" s="99"/>
      <c r="CF7" s="99"/>
      <c r="CG7" s="100"/>
      <c r="CH7" s="101"/>
      <c r="CI7" s="89"/>
      <c r="CJ7" s="89"/>
      <c r="CK7" s="64">
        <f t="shared" si="38"/>
        <v>3</v>
      </c>
      <c r="CL7" s="90">
        <f>CQ7+CV7+DA7</f>
        <v>3</v>
      </c>
      <c r="CM7" s="91">
        <f t="shared" ref="CM7:CM9" si="54">CR7+CW7+DB7</f>
        <v>0</v>
      </c>
      <c r="CN7" s="92">
        <f t="shared" si="39"/>
        <v>0</v>
      </c>
      <c r="CO7" s="68">
        <f t="shared" ref="CO7:CO9" si="55">CT7+CY7+DD7</f>
        <v>0</v>
      </c>
      <c r="CP7" s="64">
        <f t="shared" si="40"/>
        <v>2</v>
      </c>
      <c r="CQ7" s="93">
        <f t="shared" si="41"/>
        <v>2</v>
      </c>
      <c r="CR7" s="94">
        <f t="shared" si="41"/>
        <v>0</v>
      </c>
      <c r="CS7" s="95">
        <f t="shared" si="42"/>
        <v>0</v>
      </c>
      <c r="CT7" s="96">
        <f>AJ7+BI7</f>
        <v>0</v>
      </c>
      <c r="CU7" s="97">
        <f t="shared" si="43"/>
        <v>0</v>
      </c>
      <c r="CV7" s="93">
        <f t="shared" si="44"/>
        <v>0</v>
      </c>
      <c r="CW7" s="94">
        <f t="shared" si="44"/>
        <v>0</v>
      </c>
      <c r="CX7" s="95">
        <f t="shared" si="45"/>
        <v>0</v>
      </c>
      <c r="CY7" s="96">
        <f>AO7+BN7</f>
        <v>0</v>
      </c>
      <c r="CZ7" s="97">
        <f t="shared" si="46"/>
        <v>1</v>
      </c>
      <c r="DA7" s="93">
        <f t="shared" si="47"/>
        <v>1</v>
      </c>
      <c r="DB7" s="94">
        <f t="shared" si="47"/>
        <v>0</v>
      </c>
      <c r="DC7" s="95">
        <f t="shared" si="48"/>
        <v>0</v>
      </c>
      <c r="DD7" s="68">
        <f>AT7+BS7</f>
        <v>0</v>
      </c>
    </row>
    <row r="8" spans="1:108" ht="15.75" x14ac:dyDescent="0.25">
      <c r="A8" s="63" t="s">
        <v>405</v>
      </c>
      <c r="B8" s="64">
        <f t="shared" si="18"/>
        <v>1</v>
      </c>
      <c r="C8" s="65">
        <f t="shared" si="0"/>
        <v>1</v>
      </c>
      <c r="D8" s="66">
        <f t="shared" si="0"/>
        <v>0</v>
      </c>
      <c r="E8" s="67">
        <f t="shared" si="1"/>
        <v>0</v>
      </c>
      <c r="F8" s="68">
        <f t="shared" si="2"/>
        <v>0</v>
      </c>
      <c r="G8" s="69">
        <f t="shared" si="19"/>
        <v>1</v>
      </c>
      <c r="H8" s="70">
        <f t="shared" si="20"/>
        <v>1</v>
      </c>
      <c r="I8" s="71">
        <f t="shared" si="20"/>
        <v>0</v>
      </c>
      <c r="J8" s="72">
        <f t="shared" si="3"/>
        <v>0</v>
      </c>
      <c r="K8" s="69">
        <f t="shared" si="21"/>
        <v>0</v>
      </c>
      <c r="L8" s="98">
        <f t="shared" si="22"/>
        <v>0</v>
      </c>
      <c r="M8" s="99">
        <f>COUNTIFS('2026'!$J$1:$J$745,"передача",'2026'!$L$1:$L$745,"2026",'2026'!$Q$1:$Q$745,"республика")</f>
        <v>0</v>
      </c>
      <c r="N8" s="99">
        <f>COUNTIFS('2026'!$J$1:$J$745,"передача",'2026'!$L$1:$L$745,"2026",'2026'!$Q$1:$Q$745,"республика",'2026'!$P$1:$P$745,"передан")</f>
        <v>0</v>
      </c>
      <c r="O8" s="111">
        <f t="shared" si="4"/>
        <v>0</v>
      </c>
      <c r="P8" s="101">
        <f>COUNTIFS('2026'!$J$1:$J$745,"передача",'2026'!$L$1:$L$745,"&gt;2026",'2026'!$Q$1:$Q$745,"республика")</f>
        <v>0</v>
      </c>
      <c r="Q8" s="98">
        <f t="shared" si="23"/>
        <v>0</v>
      </c>
      <c r="R8" s="99">
        <f>COUNTIFS('2026'!$J$1:$J$745,"передача",'2026'!$L$1:$L$745,"2026",'2026'!$Q$1:$Q$745,"область")</f>
        <v>0</v>
      </c>
      <c r="S8" s="99">
        <f>COUNTIFS('2026'!$J$1:$J$745,"передача",'2026'!$L$1:$L$745,"2026",'2026'!$Q$1:$Q$745,"область",'2026'!$P$1:$P$745,"передан")</f>
        <v>0</v>
      </c>
      <c r="T8" s="111">
        <f t="shared" si="5"/>
        <v>0</v>
      </c>
      <c r="U8" s="101">
        <f>COUNTIFS('2026'!$J$1:$J$745,"передача",'2026'!$L$1:$L$745,"&gt;2026",'2026'!$Q$1:$Q$745,"область")</f>
        <v>0</v>
      </c>
      <c r="V8" s="98">
        <f t="shared" si="24"/>
        <v>1</v>
      </c>
      <c r="W8" s="99">
        <f>COUNTIFS('2026'!$J$1:$J$745,"передача",'2026'!$L$1:$L$745,"2026",'2026'!$Q$1:$Q$745,"район")</f>
        <v>1</v>
      </c>
      <c r="X8" s="99">
        <f>COUNTIFS('2026'!$J$1:$J$745,"передача",'2026'!$L$1:$L$745,"2026",'2026'!$Q$1:$Q$745,"район",'2026'!$P$1:$P$745,"передан")</f>
        <v>0</v>
      </c>
      <c r="Y8" s="111">
        <f t="shared" si="6"/>
        <v>0</v>
      </c>
      <c r="Z8" s="102">
        <f>COUNTIFS('2026'!$J$1:$J$745,"передача",'2026'!$L$1:$L$745,"&gt;2026",'2026'!$Q$1:$Q$745,"район")</f>
        <v>0</v>
      </c>
      <c r="AA8" s="78">
        <f t="shared" si="25"/>
        <v>0</v>
      </c>
      <c r="AB8" s="79">
        <f t="shared" si="49"/>
        <v>0</v>
      </c>
      <c r="AC8" s="79">
        <f t="shared" si="49"/>
        <v>0</v>
      </c>
      <c r="AD8" s="80">
        <f t="shared" si="26"/>
        <v>0</v>
      </c>
      <c r="AE8" s="81">
        <f t="shared" si="50"/>
        <v>0</v>
      </c>
      <c r="AF8" s="99">
        <f t="shared" si="27"/>
        <v>0</v>
      </c>
      <c r="AG8" s="99">
        <f>COUNTIFS('2026'!$J$1:$J$745,"передача",'2026'!$L$1:$L$745,"2026",'2026'!$Q$1:$Q$745,"республика50б")</f>
        <v>0</v>
      </c>
      <c r="AH8" s="99">
        <f>COUNTIFS('2026'!$J$1:$J$745,"передача",'2026'!$L$1:$L$745,"2026",'2026'!$Q$1:$Q$745,"республика50б",'2026'!$P$1:$P$745,"передан")</f>
        <v>0</v>
      </c>
      <c r="AI8" s="111">
        <f t="shared" si="7"/>
        <v>0</v>
      </c>
      <c r="AJ8" s="101">
        <f>COUNTIFS('2026'!$J$1:$J$745,"передача",'2026'!$L$1:$L$745,"&gt;2026",'2026'!$Q$1:$Q$745,"республика50б")</f>
        <v>0</v>
      </c>
      <c r="AK8" s="98">
        <f t="shared" si="28"/>
        <v>0</v>
      </c>
      <c r="AL8" s="99">
        <f>COUNTIFS('2026'!$J$1:$J$745,"передача",'2026'!$L$1:$L$745,"2026",'2026'!$Q$1:$Q$745,"область50б")</f>
        <v>0</v>
      </c>
      <c r="AM8" s="99">
        <f>COUNTIFS('2026'!$J$1:$J$745,"передача",'2026'!$L$1:$L$745,"2026",'2026'!$Q$1:$Q$745,"область50б",'2026'!$P$1:$P$745,"передан")</f>
        <v>0</v>
      </c>
      <c r="AN8" s="111">
        <f t="shared" si="8"/>
        <v>0</v>
      </c>
      <c r="AO8" s="101">
        <f>COUNTIFS('2026'!$J$1:$J$745,"передача",'2026'!$L$1:$L$745,"&gt;2026",'2026'!$Q$1:$Q$745,"область50б")</f>
        <v>0</v>
      </c>
      <c r="AP8" s="98">
        <f t="shared" si="29"/>
        <v>0</v>
      </c>
      <c r="AQ8" s="99">
        <f>COUNTIFS('2026'!$J$1:$J$745,"передача",'2026'!$L$1:$L$745,"2026",'2026'!$Q$1:$Q$745,"район50б")</f>
        <v>0</v>
      </c>
      <c r="AR8" s="99">
        <f>COUNTIFS('2026'!$J$1:$J$745,"передача",'2026'!$L$1:$L$745,"2026",'2026'!$Q$1:$Q$745,"район50б",'2026'!$P$1:$P$745,"передан")</f>
        <v>0</v>
      </c>
      <c r="AS8" s="111">
        <f t="shared" si="9"/>
        <v>0</v>
      </c>
      <c r="AT8" s="102">
        <f>COUNTIFS('2026'!$J$1:$J$745,"передача",'2026'!$L$1:$L$745,"&gt;2026",'2026'!$Q$1:$Q$745,"район50б")</f>
        <v>0</v>
      </c>
      <c r="AU8" s="103">
        <f t="shared" si="10"/>
        <v>0</v>
      </c>
      <c r="AV8" s="104">
        <f t="shared" si="30"/>
        <v>0</v>
      </c>
      <c r="AW8" s="104">
        <f t="shared" si="30"/>
        <v>0</v>
      </c>
      <c r="AX8" s="105">
        <f t="shared" si="31"/>
        <v>0</v>
      </c>
      <c r="AY8" s="106">
        <f t="shared" si="11"/>
        <v>0</v>
      </c>
      <c r="AZ8" s="107">
        <f t="shared" si="51"/>
        <v>0</v>
      </c>
      <c r="BA8" s="108">
        <f t="shared" si="52"/>
        <v>0</v>
      </c>
      <c r="BB8" s="108">
        <f t="shared" si="52"/>
        <v>0</v>
      </c>
      <c r="BC8" s="109">
        <f t="shared" si="32"/>
        <v>0</v>
      </c>
      <c r="BD8" s="106">
        <f t="shared" si="53"/>
        <v>0</v>
      </c>
      <c r="BE8" s="99">
        <f t="shared" si="33"/>
        <v>0</v>
      </c>
      <c r="BF8" s="99">
        <f>COUNTIFS('2026'!$J$1:$J$745,"передача",'2026'!$L$1:$L$745,"2026",'2026'!$Q$1:$Q$745,"республика50м")</f>
        <v>0</v>
      </c>
      <c r="BG8" s="99">
        <f>COUNTIFS('2026'!$J$1:$J$745,"передача",'2026'!$L$1:$L$745,"2026",'2026'!$Q$1:$Q$745,"республика50м",'2026'!$P$1:$P$745,"передан")</f>
        <v>0</v>
      </c>
      <c r="BH8" s="111">
        <f t="shared" si="12"/>
        <v>0</v>
      </c>
      <c r="BI8" s="101">
        <f>COUNTIFS('2026'!$J$1:$J$745,"передача",'2026'!$L$1:$L$745,"&gt;2026",'2026'!$Q$1:$Q$745,"республика50м")</f>
        <v>0</v>
      </c>
      <c r="BJ8" s="98">
        <f t="shared" si="34"/>
        <v>0</v>
      </c>
      <c r="BK8" s="99">
        <f>COUNTIFS('2026'!$J$1:$J$745,"передача",'2026'!$L$1:$L$745,"2026",'2026'!$Q$1:$Q$745,"область50м")</f>
        <v>0</v>
      </c>
      <c r="BL8" s="99">
        <f>COUNTIFS('2026'!$J$1:$J$745,"передача",'2026'!$L$1:$L$745,"2026",'2026'!$Q$1:$Q$745,"область50м",'2026'!$P$1:$P$745,"передан")</f>
        <v>0</v>
      </c>
      <c r="BM8" s="111">
        <f t="shared" si="13"/>
        <v>0</v>
      </c>
      <c r="BN8" s="101">
        <f>COUNTIFS('2026'!$J$1:$J$745,"передача",'2026'!$L$1:$L$745,"&gt;2026",'2026'!$Q$1:$Q$745,"область50м")</f>
        <v>0</v>
      </c>
      <c r="BO8" s="98">
        <f t="shared" si="35"/>
        <v>0</v>
      </c>
      <c r="BP8" s="99">
        <f>COUNTIFS('2026'!$J$1:$J$745,"передача",'2026'!$L$1:$L$745,"2026",'2026'!$Q$1:$Q$745,"район50м")</f>
        <v>0</v>
      </c>
      <c r="BQ8" s="99">
        <f>COUNTIFS('2026'!$J$1:$J$745,"передача",'2026'!$L$1:$L$745,"2026",'2026'!$Q$1:$Q$745,"район50м",'2026'!$P$1:$P$745,"передан")</f>
        <v>0</v>
      </c>
      <c r="BR8" s="111">
        <f t="shared" si="14"/>
        <v>0</v>
      </c>
      <c r="BS8" s="101">
        <f>COUNTIFS('2026'!$J$1:$J$745,"передача",'2026'!$L$1:$L$745,"&gt;2026",'2026'!$Q$1:$Q$745,"район50м")</f>
        <v>0</v>
      </c>
      <c r="BT8" s="98">
        <f t="shared" si="36"/>
        <v>0</v>
      </c>
      <c r="BU8" s="99">
        <f>COUNTIFS('2026'!$J$1:$J$745,"передача",'2026'!$L$1:$L$745,"2026",'2026'!$Q$1:$Q$745,"райпо")</f>
        <v>0</v>
      </c>
      <c r="BV8" s="99">
        <f>COUNTIFS('2026'!$J$1:$J$745,"передача",'2026'!$L$1:$L$745,"2026",'2026'!$Q$1:$Q$745,"райпо",'2026'!$P$1:$P$745,"передан")</f>
        <v>0</v>
      </c>
      <c r="BW8" s="111">
        <f t="shared" si="15"/>
        <v>0</v>
      </c>
      <c r="BX8" s="101">
        <f>COUNTIFS('2026'!$J$1:$J$745,"передача",'2026'!$L$1:$L$745,"&gt;2026",'2026'!$Q$1:$Q$745,"райпо")</f>
        <v>0</v>
      </c>
      <c r="BY8" s="98">
        <f t="shared" si="37"/>
        <v>0</v>
      </c>
      <c r="BZ8" s="99">
        <f>COUNTIFS('2026'!$J$1:$J$745,"передача",'2026'!$L$1:$L$745,"2026",'2026'!$Q$1:$Q$745,"инаяч")</f>
        <v>0</v>
      </c>
      <c r="CA8" s="99">
        <f>COUNTIFS('2026'!$J$1:$J$745,"передача",'2026'!$L$1:$L$745,"2026",'2026'!$Q$1:$Q$745,"инаяч",'2026'!$P$1:$P$745,"передан")</f>
        <v>0</v>
      </c>
      <c r="CB8" s="111">
        <f t="shared" si="16"/>
        <v>0</v>
      </c>
      <c r="CC8" s="101">
        <f>COUNTIFS('2026'!$J$1:$J$745,"передача",'2026'!$L$1:$L$745,"&gt;2026",'2026'!$Q$1:$Q$745,"инаяч")</f>
        <v>0</v>
      </c>
      <c r="CD8" s="98"/>
      <c r="CE8" s="99"/>
      <c r="CF8" s="99"/>
      <c r="CG8" s="111"/>
      <c r="CH8" s="101"/>
      <c r="CI8" s="89"/>
      <c r="CJ8" s="89"/>
      <c r="CK8" s="64">
        <f t="shared" si="38"/>
        <v>0</v>
      </c>
      <c r="CL8" s="90">
        <f t="shared" ref="CL8:CL9" si="56">CQ8+CV8+DA8</f>
        <v>0</v>
      </c>
      <c r="CM8" s="91">
        <f t="shared" si="54"/>
        <v>0</v>
      </c>
      <c r="CN8" s="92">
        <f t="shared" si="39"/>
        <v>0</v>
      </c>
      <c r="CO8" s="68">
        <f t="shared" si="55"/>
        <v>0</v>
      </c>
      <c r="CP8" s="64">
        <f t="shared" si="40"/>
        <v>0</v>
      </c>
      <c r="CQ8" s="93">
        <f t="shared" si="41"/>
        <v>0</v>
      </c>
      <c r="CR8" s="94">
        <f t="shared" si="41"/>
        <v>0</v>
      </c>
      <c r="CS8" s="95">
        <f t="shared" si="42"/>
        <v>0</v>
      </c>
      <c r="CT8" s="96">
        <f>AJ8+BI8</f>
        <v>0</v>
      </c>
      <c r="CU8" s="97">
        <f t="shared" si="43"/>
        <v>0</v>
      </c>
      <c r="CV8" s="93">
        <f t="shared" si="44"/>
        <v>0</v>
      </c>
      <c r="CW8" s="94">
        <f t="shared" si="44"/>
        <v>0</v>
      </c>
      <c r="CX8" s="95">
        <f t="shared" si="45"/>
        <v>0</v>
      </c>
      <c r="CY8" s="96">
        <f>AO8+BN8</f>
        <v>0</v>
      </c>
      <c r="CZ8" s="97">
        <f t="shared" si="46"/>
        <v>0</v>
      </c>
      <c r="DA8" s="93">
        <f t="shared" si="47"/>
        <v>0</v>
      </c>
      <c r="DB8" s="94">
        <f t="shared" si="47"/>
        <v>0</v>
      </c>
      <c r="DC8" s="95">
        <f t="shared" si="48"/>
        <v>0</v>
      </c>
      <c r="DD8" s="68">
        <f>AT8+BS8</f>
        <v>0</v>
      </c>
    </row>
    <row r="9" spans="1:108" ht="16.5" thickBot="1" x14ac:dyDescent="0.3">
      <c r="A9" s="63" t="s">
        <v>406</v>
      </c>
      <c r="B9" s="64">
        <f>C9+F9</f>
        <v>149</v>
      </c>
      <c r="C9" s="65">
        <f t="shared" si="0"/>
        <v>23</v>
      </c>
      <c r="D9" s="66">
        <f t="shared" si="0"/>
        <v>0</v>
      </c>
      <c r="E9" s="67">
        <f t="shared" si="1"/>
        <v>0</v>
      </c>
      <c r="F9" s="68">
        <f t="shared" si="2"/>
        <v>126</v>
      </c>
      <c r="G9" s="69">
        <f t="shared" si="19"/>
        <v>0</v>
      </c>
      <c r="H9" s="70">
        <f t="shared" si="20"/>
        <v>0</v>
      </c>
      <c r="I9" s="71">
        <f t="shared" si="20"/>
        <v>0</v>
      </c>
      <c r="J9" s="72">
        <f t="shared" si="3"/>
        <v>0</v>
      </c>
      <c r="K9" s="69">
        <f t="shared" si="21"/>
        <v>0</v>
      </c>
      <c r="L9" s="112">
        <f t="shared" si="22"/>
        <v>0</v>
      </c>
      <c r="M9" s="113">
        <f>COUNTIFS('2026'!$J$1:$J$745,"использование в собственных целях",'2026'!$L$1:$L$745,"2026",'2026'!$Q$1:$Q$745,"республика")</f>
        <v>0</v>
      </c>
      <c r="N9" s="113">
        <f>COUNTIFS('2026'!$J$1:$J$745,"использование в собственных целях",'2026'!$L$1:$L$745,"2026",'2026'!$Q$1:$Q$745,"республика",'2026'!$P$1:$P$745,"используется")</f>
        <v>0</v>
      </c>
      <c r="O9" s="114">
        <f t="shared" si="4"/>
        <v>0</v>
      </c>
      <c r="P9" s="115">
        <f>COUNTIFS('2026'!$J$1:$J$745,"использование в собственных целях",'2026'!$L$1:$L$745,"&gt;2026",'2026'!$Q$1:$Q$745,"республика")</f>
        <v>0</v>
      </c>
      <c r="Q9" s="112">
        <f t="shared" si="23"/>
        <v>0</v>
      </c>
      <c r="R9" s="113">
        <f>COUNTIFS('2026'!$J$1:$J$745,"использование в собственных целях",'2026'!$L$1:$L$745,"2026",'2026'!$Q$1:$Q$745,"область")</f>
        <v>0</v>
      </c>
      <c r="S9" s="113">
        <f>COUNTIFS('2026'!$J$1:$J$745,"использование в собственных целях",'2026'!$L$1:$L$745,"2026",'2026'!$Q$1:$Q$745,"область",'2026'!$P$1:$P$745,"используется")</f>
        <v>0</v>
      </c>
      <c r="T9" s="114">
        <f t="shared" si="5"/>
        <v>0</v>
      </c>
      <c r="U9" s="115">
        <f>COUNTIFS('2026'!$J$1:$J$745,"использование в собственных целях",'2026'!$L$1:$L$745,"&gt;2026",'2026'!$Q$1:$Q$745,"область")</f>
        <v>0</v>
      </c>
      <c r="V9" s="112">
        <f t="shared" si="24"/>
        <v>0</v>
      </c>
      <c r="W9" s="113">
        <f>COUNTIFS('2026'!$J$1:$J$745,"использование в собственных целях",'2026'!$L$1:$L$745,"2026",'2026'!$Q$1:$Q$745,"район")</f>
        <v>0</v>
      </c>
      <c r="X9" s="113">
        <f>COUNTIFS('2026'!$J$1:$J$745,"использование в собственных целях",'2026'!$L$1:$L$745,"2026",'2026'!$Q$1:$Q$745,"район",'2026'!$P$1:$P$745,"используется")</f>
        <v>0</v>
      </c>
      <c r="Y9" s="114">
        <f t="shared" si="6"/>
        <v>0</v>
      </c>
      <c r="Z9" s="116">
        <f>COUNTIFS('2026'!$J$1:$J$745,"использование в собственных целях",'2026'!$L$1:$L$745,"&gt;2026",'2026'!$Q$1:$Q$745,"район")</f>
        <v>0</v>
      </c>
      <c r="AA9" s="117">
        <f t="shared" si="25"/>
        <v>85</v>
      </c>
      <c r="AB9" s="118">
        <f t="shared" si="49"/>
        <v>13</v>
      </c>
      <c r="AC9" s="118">
        <f t="shared" si="49"/>
        <v>0</v>
      </c>
      <c r="AD9" s="119">
        <f t="shared" si="26"/>
        <v>0</v>
      </c>
      <c r="AE9" s="120">
        <f t="shared" si="50"/>
        <v>72</v>
      </c>
      <c r="AF9" s="113">
        <f t="shared" si="27"/>
        <v>1</v>
      </c>
      <c r="AG9" s="113">
        <f>COUNTIFS('2026'!$J$1:$J$745,"использование в собственных целях",'2026'!$L$1:$L$745,"2026",'2026'!$Q$1:$Q$745,"республика50б")</f>
        <v>1</v>
      </c>
      <c r="AH9" s="113">
        <f>COUNTIFS('2026'!$J$1:$J$745,"использование в собственных целях",'2026'!$L$1:$L$745,"2026",'2026'!$Q$1:$Q$745,"республика50б",'2026'!$P$1:$P$745,"используется")</f>
        <v>0</v>
      </c>
      <c r="AI9" s="114">
        <f t="shared" si="7"/>
        <v>0</v>
      </c>
      <c r="AJ9" s="115">
        <f>COUNTIFS('2026'!$J$1:$J$745,"использование в собственных целях",'2026'!$L$1:$L$745,"&gt;2026",'2026'!$Q$1:$Q$745,"республика50б")</f>
        <v>0</v>
      </c>
      <c r="AK9" s="112">
        <f t="shared" si="28"/>
        <v>0</v>
      </c>
      <c r="AL9" s="113">
        <f>COUNTIFS('2026'!$J$1:$J$745,"использование в собственных целях",'2026'!$L$1:$L$745,"2026",'2026'!$Q$1:$Q$745,"область50б")</f>
        <v>0</v>
      </c>
      <c r="AM9" s="113">
        <f>COUNTIFS('2026'!$J$1:$J$745,"использование в собственных целях",'2026'!$L$1:$L$745,"2026",'2026'!$Q$1:$Q$745,"область50б",'2026'!$P$1:$P$745,"используется")</f>
        <v>0</v>
      </c>
      <c r="AN9" s="114">
        <f t="shared" si="8"/>
        <v>0</v>
      </c>
      <c r="AO9" s="115">
        <f>COUNTIFS('2026'!$J$1:$J$745,"использование в собственных целях",'2026'!$L$1:$L$745,"&gt;2026",'2026'!$Q$1:$Q$745,"область50б")</f>
        <v>0</v>
      </c>
      <c r="AP9" s="112">
        <f t="shared" si="29"/>
        <v>84</v>
      </c>
      <c r="AQ9" s="113">
        <f>COUNTIFS('2026'!$J$1:$J$745,"использование в собственных целях",'2026'!$L$1:$L$745,"2026",'2026'!$Q$1:$Q$745,"район50б")</f>
        <v>12</v>
      </c>
      <c r="AR9" s="113">
        <f>COUNTIFS('2026'!$J$1:$J$745,"использование в собственных целях",'2026'!$L$1:$L$745,"2026",'2026'!$Q$1:$Q$745,"район50б",'2026'!$P$1:$P$745,"используется")</f>
        <v>0</v>
      </c>
      <c r="AS9" s="114">
        <f t="shared" si="9"/>
        <v>0</v>
      </c>
      <c r="AT9" s="116">
        <f>COUNTIFS('2026'!$J$1:$J$745,"использование в собственных целях",'2026'!$L$1:$L$745,"&gt;2026",'2026'!$Q$1:$Q$745,"район50б")</f>
        <v>72</v>
      </c>
      <c r="AU9" s="121">
        <f t="shared" si="10"/>
        <v>64</v>
      </c>
      <c r="AV9" s="122">
        <f t="shared" si="30"/>
        <v>10</v>
      </c>
      <c r="AW9" s="122">
        <f t="shared" si="30"/>
        <v>0</v>
      </c>
      <c r="AX9" s="123">
        <f t="shared" si="31"/>
        <v>0</v>
      </c>
      <c r="AY9" s="124">
        <f t="shared" si="11"/>
        <v>54</v>
      </c>
      <c r="AZ9" s="125">
        <f t="shared" si="51"/>
        <v>0</v>
      </c>
      <c r="BA9" s="126">
        <f t="shared" si="52"/>
        <v>0</v>
      </c>
      <c r="BB9" s="126">
        <f t="shared" si="52"/>
        <v>0</v>
      </c>
      <c r="BC9" s="127">
        <f t="shared" si="32"/>
        <v>0</v>
      </c>
      <c r="BD9" s="124">
        <f t="shared" si="53"/>
        <v>0</v>
      </c>
      <c r="BE9" s="113">
        <f t="shared" si="33"/>
        <v>0</v>
      </c>
      <c r="BF9" s="113">
        <f>COUNTIFS('2026'!$J$1:$J$745,"использование в собственных целях",'2026'!$L$1:$L$745,"2026",'2026'!$Q$1:$Q$745,"республика50м")</f>
        <v>0</v>
      </c>
      <c r="BG9" s="113">
        <f>COUNTIFS('2026'!$J$1:$J$745,"использование в собственных целях",'2026'!$L$1:$L$745,"2026",'2026'!$Q$1:$Q$745,"республика50м",'2026'!$P$1:$P$745,"используется")</f>
        <v>0</v>
      </c>
      <c r="BH9" s="114">
        <f t="shared" si="12"/>
        <v>0</v>
      </c>
      <c r="BI9" s="115">
        <f>COUNTIFS('2026'!$J$1:$J$745,"использование в собственных целях",'2026'!$L$1:$L$745,"&gt;2026",'2026'!$Q$1:$Q$745,"республика50м")</f>
        <v>0</v>
      </c>
      <c r="BJ9" s="112">
        <f t="shared" si="34"/>
        <v>0</v>
      </c>
      <c r="BK9" s="113">
        <f>COUNTIFS('2026'!$J$1:$J$745,"использование в собственных целях",'2026'!$L$1:$L$745,"2026",'2026'!$Q$1:$Q$745,"область50м")</f>
        <v>0</v>
      </c>
      <c r="BL9" s="113">
        <f>COUNTIFS('2026'!$J$1:$J$745,"использование в собственных целях",'2026'!$L$1:$L$745,"2026",'2026'!$Q$1:$Q$745,"область50м",'2026'!$P$1:$P$745,"используется")</f>
        <v>0</v>
      </c>
      <c r="BM9" s="114">
        <f t="shared" si="13"/>
        <v>0</v>
      </c>
      <c r="BN9" s="115">
        <f>COUNTIFS('2026'!$J$1:$J$745,"использование в собственных целях",'2026'!$L$1:$L$745,"&gt;2026",'2026'!$Q$1:$Q$745,"область50м")</f>
        <v>0</v>
      </c>
      <c r="BO9" s="112">
        <f t="shared" si="35"/>
        <v>0</v>
      </c>
      <c r="BP9" s="113">
        <f>COUNTIFS('2026'!$J$1:$J$745,"использование в собственных целях",'2026'!$L$1:$L$745,"2026",'2026'!$Q$1:$Q$745,"район50м")</f>
        <v>0</v>
      </c>
      <c r="BQ9" s="113">
        <f>COUNTIFS('2026'!$J$1:$J$745,"использование в собственных целях",'2026'!$L$1:$L$745,"2026",'2026'!$Q$1:$Q$745,"район50м",'2026'!$P$1:$P$745,"используется")</f>
        <v>0</v>
      </c>
      <c r="BR9" s="114">
        <f t="shared" si="14"/>
        <v>0</v>
      </c>
      <c r="BS9" s="115">
        <f>COUNTIFS('2026'!$J$1:$J$745,"использование в собственных целях",'2026'!$L$1:$L$745,"&gt;2026",'2026'!$Q$1:$Q$745,"район50м")</f>
        <v>0</v>
      </c>
      <c r="BT9" s="112">
        <f t="shared" si="36"/>
        <v>0</v>
      </c>
      <c r="BU9" s="113">
        <f>COUNTIFS('2026'!$J$1:$J$745,"использование в собственных целях",'2026'!$L$1:$L$745,"2026",'2026'!$Q$1:$Q$745,"райпо")</f>
        <v>0</v>
      </c>
      <c r="BV9" s="113">
        <f>COUNTIFS('2026'!$J$1:$J$745,"использование в собственных целях",'2026'!$L$1:$L$745,"2026",'2026'!$Q$1:$Q$745,"райпо",'2026'!$P$1:$P$745,"используется")</f>
        <v>0</v>
      </c>
      <c r="BW9" s="114">
        <f t="shared" si="15"/>
        <v>0</v>
      </c>
      <c r="BX9" s="115">
        <f>COUNTIFS('2026'!$J$1:$J$745,"использование в собственных целях",'2026'!$L$1:$L$745,"&gt;2026",'2026'!$Q$1:$Q$745,"райпо")</f>
        <v>0</v>
      </c>
      <c r="BY9" s="112">
        <f t="shared" si="37"/>
        <v>64</v>
      </c>
      <c r="BZ9" s="113">
        <f>COUNTIFS('2026'!$J$1:$J$745,"использование в собственных целях",'2026'!$L$1:$L$745,"2026",'2026'!$Q$1:$Q$745,"инаяч")</f>
        <v>10</v>
      </c>
      <c r="CA9" s="113">
        <f>COUNTIFS('2026'!$J$1:$J$745,"использование в собственных целях",'2026'!$L$1:$L$745,"2026",'2026'!$Q$1:$Q$745,"инаяч",'2026'!$P$1:$P$745,"используется")</f>
        <v>0</v>
      </c>
      <c r="CB9" s="114">
        <f t="shared" si="16"/>
        <v>0</v>
      </c>
      <c r="CC9" s="115">
        <f>COUNTIFS('2026'!$J$1:$J$745,"использование в собственных целях",'2026'!$L$1:$L$745,"&gt;2026",'2026'!$Q$1:$Q$745,"инаяч")</f>
        <v>54</v>
      </c>
      <c r="CD9" s="112"/>
      <c r="CE9" s="113"/>
      <c r="CF9" s="113"/>
      <c r="CG9" s="114"/>
      <c r="CH9" s="115"/>
      <c r="CI9" s="89"/>
      <c r="CJ9" s="89"/>
      <c r="CK9" s="64">
        <f t="shared" si="38"/>
        <v>85</v>
      </c>
      <c r="CL9" s="90">
        <f t="shared" si="56"/>
        <v>13</v>
      </c>
      <c r="CM9" s="91">
        <f t="shared" si="54"/>
        <v>0</v>
      </c>
      <c r="CN9" s="92">
        <f t="shared" si="39"/>
        <v>0</v>
      </c>
      <c r="CO9" s="68">
        <f t="shared" si="55"/>
        <v>72</v>
      </c>
      <c r="CP9" s="64">
        <f t="shared" si="40"/>
        <v>1</v>
      </c>
      <c r="CQ9" s="93">
        <f t="shared" si="41"/>
        <v>1</v>
      </c>
      <c r="CR9" s="94">
        <f t="shared" si="41"/>
        <v>0</v>
      </c>
      <c r="CS9" s="95">
        <f t="shared" si="42"/>
        <v>0</v>
      </c>
      <c r="CT9" s="96">
        <f>AJ9+BI9</f>
        <v>0</v>
      </c>
      <c r="CU9" s="97">
        <f t="shared" si="43"/>
        <v>0</v>
      </c>
      <c r="CV9" s="93">
        <f t="shared" si="44"/>
        <v>0</v>
      </c>
      <c r="CW9" s="94">
        <f t="shared" si="44"/>
        <v>0</v>
      </c>
      <c r="CX9" s="95">
        <f t="shared" si="45"/>
        <v>0</v>
      </c>
      <c r="CY9" s="96">
        <f>AO9+BN9</f>
        <v>0</v>
      </c>
      <c r="CZ9" s="97">
        <f t="shared" si="46"/>
        <v>84</v>
      </c>
      <c r="DA9" s="93">
        <f t="shared" si="47"/>
        <v>12</v>
      </c>
      <c r="DB9" s="94">
        <f t="shared" si="47"/>
        <v>0</v>
      </c>
      <c r="DC9" s="95">
        <f t="shared" si="48"/>
        <v>0</v>
      </c>
      <c r="DD9" s="68">
        <f>AT9+BS9</f>
        <v>72</v>
      </c>
    </row>
    <row r="10" spans="1:108" ht="15.75" x14ac:dyDescent="0.25">
      <c r="A10" s="128" t="s">
        <v>407</v>
      </c>
      <c r="B10" s="129">
        <f>C10+F10</f>
        <v>214</v>
      </c>
      <c r="C10" s="39">
        <f t="shared" si="0"/>
        <v>66</v>
      </c>
      <c r="D10" s="40">
        <f t="shared" si="0"/>
        <v>5</v>
      </c>
      <c r="E10" s="41">
        <f t="shared" si="1"/>
        <v>7.5757575757575761</v>
      </c>
      <c r="F10" s="130">
        <f t="shared" si="2"/>
        <v>148</v>
      </c>
      <c r="G10" s="131">
        <f>H10+K10</f>
        <v>11</v>
      </c>
      <c r="H10" s="44">
        <f>M10+R10+W10</f>
        <v>11</v>
      </c>
      <c r="I10" s="45">
        <f>N10+S10+X10</f>
        <v>5</v>
      </c>
      <c r="J10" s="46">
        <f t="shared" si="3"/>
        <v>45.454545454545453</v>
      </c>
      <c r="K10" s="131">
        <f>P10+U10+Z10</f>
        <v>0</v>
      </c>
      <c r="L10" s="132">
        <f>M10+P10</f>
        <v>1</v>
      </c>
      <c r="M10" s="133">
        <f>SUM(M11:M14)</f>
        <v>1</v>
      </c>
      <c r="N10" s="133">
        <f>SUM(N11:N14)</f>
        <v>0</v>
      </c>
      <c r="O10" s="134">
        <f t="shared" si="4"/>
        <v>0</v>
      </c>
      <c r="P10" s="130">
        <f>SUM(P11:P14)</f>
        <v>0</v>
      </c>
      <c r="Q10" s="132">
        <f>R10+U10</f>
        <v>1</v>
      </c>
      <c r="R10" s="133">
        <f>SUM(R11:R14)</f>
        <v>1</v>
      </c>
      <c r="S10" s="133">
        <f>SUM(S11:S14)</f>
        <v>0</v>
      </c>
      <c r="T10" s="134">
        <f t="shared" si="5"/>
        <v>0</v>
      </c>
      <c r="U10" s="130">
        <f>SUM(U11:U14)</f>
        <v>0</v>
      </c>
      <c r="V10" s="132">
        <f>W10+Z10</f>
        <v>9</v>
      </c>
      <c r="W10" s="133">
        <f>SUM(W11:W14)</f>
        <v>9</v>
      </c>
      <c r="X10" s="133">
        <f>SUM(X11:X14)</f>
        <v>5</v>
      </c>
      <c r="Y10" s="134">
        <f t="shared" si="6"/>
        <v>55.555555555555557</v>
      </c>
      <c r="Z10" s="131">
        <f>SUM(Z11:Z14)</f>
        <v>0</v>
      </c>
      <c r="AA10" s="129">
        <f>AB10+AE10</f>
        <v>93</v>
      </c>
      <c r="AB10" s="50">
        <f>AG10+AL10+AQ10</f>
        <v>19</v>
      </c>
      <c r="AC10" s="50">
        <f>AH10+AM10+AR10</f>
        <v>0</v>
      </c>
      <c r="AD10" s="51">
        <f>IFERROR(AC10/AB10*100,0)</f>
        <v>0</v>
      </c>
      <c r="AE10" s="135">
        <f>AJ10+AO10+AT10</f>
        <v>74</v>
      </c>
      <c r="AF10" s="133">
        <f>AG10+AJ10</f>
        <v>5</v>
      </c>
      <c r="AG10" s="133">
        <f>SUM(AG11:AG14)</f>
        <v>5</v>
      </c>
      <c r="AH10" s="133">
        <f>SUM(AH11:AH14)</f>
        <v>0</v>
      </c>
      <c r="AI10" s="134">
        <f t="shared" si="7"/>
        <v>0</v>
      </c>
      <c r="AJ10" s="130">
        <f>SUM(AJ11:AJ14)</f>
        <v>0</v>
      </c>
      <c r="AK10" s="132">
        <f>AL10+AO10</f>
        <v>0</v>
      </c>
      <c r="AL10" s="133">
        <f>SUM(AL11:AL14)</f>
        <v>0</v>
      </c>
      <c r="AM10" s="133">
        <f>SUM(AM11:AM14)</f>
        <v>0</v>
      </c>
      <c r="AN10" s="134">
        <f t="shared" si="8"/>
        <v>0</v>
      </c>
      <c r="AO10" s="130">
        <f>SUM(AO11:AO14)</f>
        <v>0</v>
      </c>
      <c r="AP10" s="132">
        <f>AQ10+AT10</f>
        <v>88</v>
      </c>
      <c r="AQ10" s="133">
        <f>SUM(AQ11:AQ14)</f>
        <v>14</v>
      </c>
      <c r="AR10" s="133">
        <f>SUM(AR11:AR14)</f>
        <v>0</v>
      </c>
      <c r="AS10" s="134">
        <f t="shared" si="9"/>
        <v>0</v>
      </c>
      <c r="AT10" s="131">
        <f>SUM(AT11:AT14)</f>
        <v>74</v>
      </c>
      <c r="AU10" s="129">
        <f t="shared" si="10"/>
        <v>104</v>
      </c>
      <c r="AV10" s="53">
        <f>BA10+BU10+BZ10</f>
        <v>36</v>
      </c>
      <c r="AW10" s="53">
        <f>BB10+BV10+CA10</f>
        <v>0</v>
      </c>
      <c r="AX10" s="54">
        <f>IFERROR(AW10/AV10*100,0)</f>
        <v>0</v>
      </c>
      <c r="AY10" s="135">
        <f t="shared" si="11"/>
        <v>68</v>
      </c>
      <c r="AZ10" s="131">
        <f>BA10+BD10</f>
        <v>5</v>
      </c>
      <c r="BA10" s="55">
        <f>BF10+BK10+BP10</f>
        <v>0</v>
      </c>
      <c r="BB10" s="55">
        <f>BG10+BL10+BQ10</f>
        <v>0</v>
      </c>
      <c r="BC10" s="56">
        <f>IFERROR(BB10/BA10*100,0)</f>
        <v>0</v>
      </c>
      <c r="BD10" s="135">
        <f>BI10+BN10+BS10</f>
        <v>5</v>
      </c>
      <c r="BE10" s="133">
        <f>BF10+BI10</f>
        <v>5</v>
      </c>
      <c r="BF10" s="133">
        <f>SUM(BF11:BF14)</f>
        <v>0</v>
      </c>
      <c r="BG10" s="133">
        <f>SUM(BG11:BG14)</f>
        <v>0</v>
      </c>
      <c r="BH10" s="134">
        <f t="shared" si="12"/>
        <v>0</v>
      </c>
      <c r="BI10" s="130">
        <f>SUM(BI11:BI14)</f>
        <v>5</v>
      </c>
      <c r="BJ10" s="132">
        <f>BK10+BN10</f>
        <v>0</v>
      </c>
      <c r="BK10" s="133">
        <f>SUM(BK11:BK14)</f>
        <v>0</v>
      </c>
      <c r="BL10" s="133">
        <f>SUM(BL11:BL14)</f>
        <v>0</v>
      </c>
      <c r="BM10" s="134">
        <f t="shared" si="13"/>
        <v>0</v>
      </c>
      <c r="BN10" s="130">
        <f>SUM(BN11:BN14)</f>
        <v>0</v>
      </c>
      <c r="BO10" s="132">
        <f>BP10+BS10</f>
        <v>0</v>
      </c>
      <c r="BP10" s="133">
        <f>SUM(BP11:BP14)</f>
        <v>0</v>
      </c>
      <c r="BQ10" s="133">
        <f>SUM(BQ11:BQ14)</f>
        <v>0</v>
      </c>
      <c r="BR10" s="134">
        <f t="shared" si="14"/>
        <v>0</v>
      </c>
      <c r="BS10" s="130">
        <f>SUM(BS11:BS14)</f>
        <v>0</v>
      </c>
      <c r="BT10" s="132">
        <f>BU10+BX10</f>
        <v>32</v>
      </c>
      <c r="BU10" s="133">
        <f>SUM(BU11:BU14)</f>
        <v>23</v>
      </c>
      <c r="BV10" s="133">
        <f>SUM(BV11:BV14)</f>
        <v>0</v>
      </c>
      <c r="BW10" s="134">
        <f t="shared" si="15"/>
        <v>0</v>
      </c>
      <c r="BX10" s="130">
        <f>SUM(BX11:BX14)</f>
        <v>9</v>
      </c>
      <c r="BY10" s="132">
        <f>BZ10+CC10</f>
        <v>67</v>
      </c>
      <c r="BZ10" s="133">
        <f>SUM(BZ11:BZ14)</f>
        <v>13</v>
      </c>
      <c r="CA10" s="133">
        <f>SUM(CA11:CA14)</f>
        <v>0</v>
      </c>
      <c r="CB10" s="134">
        <f t="shared" si="16"/>
        <v>0</v>
      </c>
      <c r="CC10" s="130">
        <f>SUM(CC11:CC14)</f>
        <v>54</v>
      </c>
      <c r="CD10" s="132">
        <f>CE10+CH10</f>
        <v>6</v>
      </c>
      <c r="CE10" s="191">
        <f>SUMIFS('2026'!$B$1:$B$741,'2026'!$K$1:$K$741,"определение собственника",'2026'!$L$1:$L$741,"2025",'2026'!$Q$1:$Q$741,"бесхозяйное")</f>
        <v>0</v>
      </c>
      <c r="CF10" s="191">
        <f>SUMIFS('2026'!$B$1:$B$741,'2026'!$K$1:$K$741,"определение собственника",'2026'!$L$1:$L$741,"2025",'2026'!$Q$1:$Q$741,"бесхозяйное",'2026'!$P$1:$P$741,"определен")</f>
        <v>0</v>
      </c>
      <c r="CG10" s="134">
        <f t="shared" si="17"/>
        <v>0</v>
      </c>
      <c r="CH10" s="192">
        <f>SUMIFS('2026'!$B$1:$B$741,'2026'!$K$1:$K$741,"определение собственника",'2026'!$L$1:$L$741,"&gt;2025",'2026'!$Q$1:$Q$741,"бесхозяйное")</f>
        <v>6</v>
      </c>
      <c r="CI10" s="57"/>
      <c r="CJ10" s="57"/>
      <c r="CK10" s="129">
        <f>CL10+CO10</f>
        <v>98</v>
      </c>
      <c r="CL10" s="58">
        <f>CQ10+CV10+DA10</f>
        <v>19</v>
      </c>
      <c r="CM10" s="59">
        <f>CR10+CW10+DB10</f>
        <v>0</v>
      </c>
      <c r="CN10" s="60">
        <f>IFERROR(CM10/CL10*100,0)</f>
        <v>0</v>
      </c>
      <c r="CO10" s="130">
        <f>CT10+CY10+DD10</f>
        <v>79</v>
      </c>
      <c r="CP10" s="129">
        <f>CQ10+CT10</f>
        <v>10</v>
      </c>
      <c r="CQ10" s="136">
        <f>SUM(CQ11:CQ14)</f>
        <v>5</v>
      </c>
      <c r="CR10" s="136">
        <f>SUM(CR11:CR14)</f>
        <v>0</v>
      </c>
      <c r="CS10" s="137">
        <f>IFERROR(CR10/CQ10*100,0)</f>
        <v>0</v>
      </c>
      <c r="CT10" s="130">
        <f>SUM(CT11:CT14)</f>
        <v>5</v>
      </c>
      <c r="CU10" s="129">
        <f>CV10+CY10</f>
        <v>0</v>
      </c>
      <c r="CV10" s="136">
        <f>SUM(CV11:CV14)</f>
        <v>0</v>
      </c>
      <c r="CW10" s="136">
        <f>SUM(CW11:CW14)</f>
        <v>0</v>
      </c>
      <c r="CX10" s="137">
        <f>IFERROR(CW10/CV10*100,0)</f>
        <v>0</v>
      </c>
      <c r="CY10" s="130">
        <f>SUM(CY11:CY14)</f>
        <v>0</v>
      </c>
      <c r="CZ10" s="129">
        <f>DA10+DD10</f>
        <v>88</v>
      </c>
      <c r="DA10" s="136">
        <f>SUM(DA11:DA14)</f>
        <v>14</v>
      </c>
      <c r="DB10" s="136">
        <f>SUM(DB11:DB14)</f>
        <v>0</v>
      </c>
      <c r="DC10" s="137">
        <f>IFERROR(DB10/DA10*100,0)</f>
        <v>0</v>
      </c>
      <c r="DD10" s="130">
        <f>SUM(DD11:DD14)</f>
        <v>74</v>
      </c>
    </row>
    <row r="11" spans="1:108" ht="15.75" x14ac:dyDescent="0.25">
      <c r="A11" s="63" t="s">
        <v>9</v>
      </c>
      <c r="B11" s="64">
        <f t="shared" ref="B11:B13" si="57">C11+F11</f>
        <v>52</v>
      </c>
      <c r="C11" s="65">
        <f t="shared" si="0"/>
        <v>38</v>
      </c>
      <c r="D11" s="66">
        <f t="shared" si="0"/>
        <v>5</v>
      </c>
      <c r="E11" s="67">
        <f t="shared" si="1"/>
        <v>13.157894736842104</v>
      </c>
      <c r="F11" s="68">
        <f t="shared" si="2"/>
        <v>14</v>
      </c>
      <c r="G11" s="69">
        <f t="shared" ref="G11:G14" si="58">H11+K11</f>
        <v>10</v>
      </c>
      <c r="H11" s="70">
        <f t="shared" ref="H11:I14" si="59">M11+R11+W11</f>
        <v>10</v>
      </c>
      <c r="I11" s="71">
        <f t="shared" si="59"/>
        <v>5</v>
      </c>
      <c r="J11" s="72">
        <f t="shared" si="3"/>
        <v>50</v>
      </c>
      <c r="K11" s="69">
        <f t="shared" ref="K11:K14" si="60">P11+U11+Z11</f>
        <v>0</v>
      </c>
      <c r="L11" s="73">
        <f t="shared" ref="L11:L14" si="61">M11+P11</f>
        <v>1</v>
      </c>
      <c r="M11" s="74">
        <f>SUMIFS('2026'!$B$1:$B$745,'2026'!$K$1:$K$745,"продажа",'2026'!$L$1:$L$745,"2026",'2026'!$Q$1:$Q$745,"республика")</f>
        <v>1</v>
      </c>
      <c r="N11" s="74">
        <f>SUMIFS('2026'!$B$1:$B$745,'2026'!$K$1:$K$745,"продажа",'2026'!$L$1:$L$745,"2026",'2026'!$Q$1:$Q$745,"республика",'2026'!$P$1:$P$745,"продан")</f>
        <v>0</v>
      </c>
      <c r="O11" s="75">
        <f t="shared" si="4"/>
        <v>0</v>
      </c>
      <c r="P11" s="76">
        <f>SUMIFS('2026'!$B$1:$B$745,'2026'!$K$1:$K$745,"продажа",'2026'!$L$1:$L$745,"&gt;2026",'2026'!$Q$1:$Q$745,"республика")</f>
        <v>0</v>
      </c>
      <c r="Q11" s="73">
        <f t="shared" ref="Q11:Q14" si="62">R11+U11</f>
        <v>1</v>
      </c>
      <c r="R11" s="74">
        <f>SUMIFS('2026'!$B$1:$B$745,'2026'!$K$1:$K$745,"продажа",'2026'!$L$1:$L$745,"2026",'2026'!$Q$1:$Q$745,"область")</f>
        <v>1</v>
      </c>
      <c r="S11" s="74">
        <f>SUMIFS('2026'!$B$1:$B$745,'2026'!$K$1:$K$745,"продажа",'2026'!$L$1:$L$745,"2026",'2026'!$Q$1:$Q$745,"область",'2026'!$P$1:$P$745,"продан")</f>
        <v>0</v>
      </c>
      <c r="T11" s="75">
        <f t="shared" si="5"/>
        <v>0</v>
      </c>
      <c r="U11" s="76">
        <f>SUMIFS('2026'!$B$1:$B$745,'2026'!$K$1:$K$745,"продажа",'2026'!$L$1:$L$745,"&gt;2026",'2026'!$Q$1:$Q$745,"область")</f>
        <v>0</v>
      </c>
      <c r="V11" s="73">
        <f t="shared" ref="V11:V14" si="63">W11+Z11</f>
        <v>8</v>
      </c>
      <c r="W11" s="74">
        <f>SUMIFS('2026'!$B$1:$B$745,'2026'!$K$1:$K$745,"продажа",'2026'!$L$1:$L$745,"2026",'2026'!$Q$1:$Q$745,"район")</f>
        <v>8</v>
      </c>
      <c r="X11" s="74">
        <f>SUMIFS('2026'!$B$1:$B$745,'2026'!$K$1:$K$745,"продажа",'2026'!$L$1:$L$745,"2026",'2026'!$Q$1:$Q$745,"район",'2026'!$P$1:$P$745,"продан")</f>
        <v>5</v>
      </c>
      <c r="Y11" s="75">
        <f t="shared" si="6"/>
        <v>62.5</v>
      </c>
      <c r="Z11" s="77">
        <f>SUMIFS('2026'!$B$1:$B$745,'2026'!$K$1:$K$745,"продажа",'2026'!$L$1:$L$745,"&gt;2026",'2026'!$Q$1:$Q$745,"район")</f>
        <v>0</v>
      </c>
      <c r="AA11" s="138">
        <f t="shared" ref="AA11:AA14" si="64">AB11+AE11</f>
        <v>5</v>
      </c>
      <c r="AB11" s="139">
        <f>AG11+AL11+AQ11</f>
        <v>3</v>
      </c>
      <c r="AC11" s="139">
        <f>AH11+AM11+AR11</f>
        <v>0</v>
      </c>
      <c r="AD11" s="140">
        <f t="shared" ref="AD11:AD14" si="65">IFERROR(AC11/AB11*100,0)</f>
        <v>0</v>
      </c>
      <c r="AE11" s="141">
        <f>AJ11+AO11+AT11</f>
        <v>2</v>
      </c>
      <c r="AF11" s="74">
        <f t="shared" ref="AF11:AF14" si="66">AG11+AJ11</f>
        <v>2</v>
      </c>
      <c r="AG11" s="74">
        <f>SUMIFS('2026'!$B$1:$B$745,'2026'!$K$1:$K$745,"продажа",'2026'!$L$1:$L$745,"2026",'2026'!$Q$1:$Q$745,"республика50б")</f>
        <v>2</v>
      </c>
      <c r="AH11" s="74">
        <f>SUMIFS('2026'!$B$1:$B$745,'2026'!$K$1:$K$745,"продажа",'2026'!$L$1:$L$745,"2026",'2026'!$Q$1:$Q$745,"республика50б",'2026'!$P$1:$P$745,"продан")</f>
        <v>0</v>
      </c>
      <c r="AI11" s="75">
        <f t="shared" si="7"/>
        <v>0</v>
      </c>
      <c r="AJ11" s="76">
        <f>SUMIFS('2026'!$B$1:$B$745,'2026'!$K$1:$K$745,"продажа",'2026'!$L$1:$L$745,"&gt;2026",'2026'!$Q$1:$Q$745,"республика50б")</f>
        <v>0</v>
      </c>
      <c r="AK11" s="73">
        <f t="shared" ref="AK11:AK14" si="67">AL11+AO11</f>
        <v>0</v>
      </c>
      <c r="AL11" s="74">
        <f>SUMIFS('2026'!$B$1:$B$745,'2026'!$K$1:$K$745,"продажа",'2026'!$L$1:$L$745,"2026",'2026'!$Q$1:$Q$745,"область50б")</f>
        <v>0</v>
      </c>
      <c r="AM11" s="74">
        <f>SUMIFS('2026'!$B$1:$B$745,'2026'!$K$1:$K$745,"продажа",'2026'!$L$1:$L$745,"2026",'2026'!$Q$1:$Q$745,"область50б",'2026'!$P$1:$P$745,"продан")</f>
        <v>0</v>
      </c>
      <c r="AN11" s="75">
        <f t="shared" si="8"/>
        <v>0</v>
      </c>
      <c r="AO11" s="76">
        <f>SUMIFS('2026'!$B$1:$B$745,'2026'!$K$1:$K$745,"продажа",'2026'!$L$1:$L$745,"&gt;2026",'2026'!$Q$1:$Q$745,"область50б")</f>
        <v>0</v>
      </c>
      <c r="AP11" s="73">
        <f t="shared" ref="AP11:AP14" si="68">AQ11+AT11</f>
        <v>3</v>
      </c>
      <c r="AQ11" s="74">
        <f>SUMIFS('2026'!$B$1:$B$745,'2026'!$K$1:$K$745,"продажа",'2026'!$L$1:$L$745,"2026",'2026'!$Q$1:$Q$745,"район50б")</f>
        <v>1</v>
      </c>
      <c r="AR11" s="74">
        <f>SUMIFS('2026'!$B$1:$B$745,'2026'!$K$1:$K$745,"продажа",'2026'!$L$1:$L$745,"2026",'2026'!$Q$1:$Q$745,"район50б",'2026'!$P$1:$P$745,"продан")</f>
        <v>0</v>
      </c>
      <c r="AS11" s="75">
        <f t="shared" si="9"/>
        <v>0</v>
      </c>
      <c r="AT11" s="77">
        <f>SUMIFS('2026'!$B$1:$B$745,'2026'!$K$1:$K$745,"продажа",'2026'!$L$1:$L$745,"&gt;2026",'2026'!$Q$1:$Q$745,"район50б")</f>
        <v>2</v>
      </c>
      <c r="AU11" s="82">
        <f t="shared" si="10"/>
        <v>37</v>
      </c>
      <c r="AV11" s="83">
        <f>BA11+BU11+BZ11</f>
        <v>25</v>
      </c>
      <c r="AW11" s="83">
        <f t="shared" ref="AW11:AW14" si="69">BB11+BV11+CA11</f>
        <v>0</v>
      </c>
      <c r="AX11" s="84">
        <f t="shared" ref="AX11:AX14" si="70">IFERROR(AW11/AV11*100,0)</f>
        <v>0</v>
      </c>
      <c r="AY11" s="85">
        <f t="shared" si="11"/>
        <v>12</v>
      </c>
      <c r="AZ11" s="86">
        <f>BA11+BD11</f>
        <v>5</v>
      </c>
      <c r="BA11" s="87">
        <f>BF11+BK11+BP11</f>
        <v>0</v>
      </c>
      <c r="BB11" s="87">
        <f>BG11+BL11+BQ11</f>
        <v>0</v>
      </c>
      <c r="BC11" s="88">
        <f t="shared" ref="BC11:BC14" si="71">IFERROR(BB11/BA11*100,0)</f>
        <v>0</v>
      </c>
      <c r="BD11" s="85">
        <f>BI11+BN11+BS11</f>
        <v>5</v>
      </c>
      <c r="BE11" s="74">
        <f t="shared" ref="BE11:BE14" si="72">BF11+BI11</f>
        <v>5</v>
      </c>
      <c r="BF11" s="74">
        <f>SUMIFS('2026'!$B$1:$B$745,'2026'!$K$1:$K$745,"продажа",'2026'!$L$1:$L$745,"2026",'2026'!$Q$1:$Q$745,"республика50м")</f>
        <v>0</v>
      </c>
      <c r="BG11" s="74">
        <f>SUMIFS('2026'!$B$1:$B$745,'2026'!$K$1:$K$745,"продажа",'2026'!$L$1:$L$745,"2026",'2026'!$Q$1:$Q$745,"республика50м",'2026'!$P$1:$P$745,"продан")</f>
        <v>0</v>
      </c>
      <c r="BH11" s="75">
        <f t="shared" si="12"/>
        <v>0</v>
      </c>
      <c r="BI11" s="76">
        <f>SUMIFS('2026'!$B$1:$B$745,'2026'!$K$1:$K$745,"продажа",'2026'!$L$1:$L$745,"&gt;2026",'2026'!$Q$1:$Q$745,"республика50м")</f>
        <v>5</v>
      </c>
      <c r="BJ11" s="73">
        <f t="shared" ref="BJ11:BJ14" si="73">BK11+BN11</f>
        <v>0</v>
      </c>
      <c r="BK11" s="74">
        <f>SUMIFS('2026'!$B$1:$B$745,'2026'!$K$1:$K$745,"продажа",'2026'!$L$1:$L$745,"2026",'2026'!$Q$1:$Q$745,"область50м")</f>
        <v>0</v>
      </c>
      <c r="BL11" s="74">
        <f>SUMIFS('2026'!$B$1:$B$745,'2026'!$K$1:$K$745,"продажа",'2026'!$L$1:$L$745,"2026",'2026'!$Q$1:$Q$745,"область50м",'2026'!$P$1:$P$745,"продан")</f>
        <v>0</v>
      </c>
      <c r="BM11" s="75">
        <f t="shared" si="13"/>
        <v>0</v>
      </c>
      <c r="BN11" s="76">
        <f>SUMIFS('2026'!$B$1:$B$745,'2026'!$K$1:$K$745,"продажа",'2026'!$L$1:$L$745,"&gt;2026",'2026'!$Q$1:$Q$745,"область50м")</f>
        <v>0</v>
      </c>
      <c r="BO11" s="73">
        <f t="shared" ref="BO11:BO14" si="74">BP11+BS11</f>
        <v>0</v>
      </c>
      <c r="BP11" s="74">
        <f>SUMIFS('2026'!$B$1:$B$745,'2026'!$K$1:$K$745,"продажа",'2026'!$L$1:$L$745,"2026",'2026'!$Q$1:$Q$745,"район50м")</f>
        <v>0</v>
      </c>
      <c r="BQ11" s="74">
        <f>SUMIFS('2026'!$B$1:$B$745,'2026'!$K$1:$K$745,"продажа",'2026'!$L$1:$L$745,"2026",'2026'!$Q$1:$Q$745,"район50м",'2026'!$P$1:$P$745,"продан")</f>
        <v>0</v>
      </c>
      <c r="BR11" s="75">
        <f t="shared" si="14"/>
        <v>0</v>
      </c>
      <c r="BS11" s="76">
        <f>SUMIFS('2026'!$B$1:$B$745,'2026'!$K$1:$K$745,"продажа",'2026'!$L$1:$L$745,"&gt;2026",'2026'!$Q$1:$Q$745,"район50м")</f>
        <v>0</v>
      </c>
      <c r="BT11" s="73">
        <f t="shared" ref="BT11:BT14" si="75">BU11+BX11</f>
        <v>29</v>
      </c>
      <c r="BU11" s="74">
        <f>SUMIFS('2026'!$B$1:$B$745,'2026'!$K$1:$K$745,"продажа",'2026'!$L$1:$L$745,"2026",'2026'!$Q$1:$Q$745,"райпо")</f>
        <v>22</v>
      </c>
      <c r="BV11" s="74">
        <f>SUMIFS('2026'!$B$1:$B$745,'2026'!$K$1:$K$745,"продажа",'2026'!$L$1:$L$745,"2026",'2026'!$Q$1:$Q$745,"райпо",'2026'!$P$1:$P$745,"продан")</f>
        <v>0</v>
      </c>
      <c r="BW11" s="75">
        <f t="shared" si="15"/>
        <v>0</v>
      </c>
      <c r="BX11" s="76">
        <f>SUMIFS('2026'!$B$1:$B$745,'2026'!$K$1:$K$745,"продажа",'2026'!$L$1:$L$745,"&gt;2026",'2026'!$Q$1:$Q$745,"райпо")</f>
        <v>7</v>
      </c>
      <c r="BY11" s="73">
        <f t="shared" ref="BY11:BY14" si="76">BZ11+CC11</f>
        <v>3</v>
      </c>
      <c r="BZ11" s="74">
        <f>SUMIFS('2026'!$B$1:$B$745,'2026'!$K$1:$K$745,"продажа",'2026'!$L$1:$L$745,"2026",'2026'!$Q$1:$Q$745,"инаяч")</f>
        <v>3</v>
      </c>
      <c r="CA11" s="74">
        <f>SUMIFS('2026'!$B$1:$B$745,'2026'!$K$1:$K$745,"продажа",'2026'!$L$1:$L$745,"2026",'2026'!$Q$1:$Q$745,"инаяч",'2026'!$P$1:$P$745,"продан")</f>
        <v>0</v>
      </c>
      <c r="CB11" s="75">
        <f t="shared" si="16"/>
        <v>0</v>
      </c>
      <c r="CC11" s="76">
        <f>SUMIFS('2026'!$B$1:$B$745,'2026'!$K$1:$K$745,"продажа",'2026'!$L$1:$L$745,"&gt;2026",'2026'!$Q$1:$Q$745,"инаяч")</f>
        <v>0</v>
      </c>
      <c r="CD11" s="73"/>
      <c r="CE11" s="74"/>
      <c r="CF11" s="74">
        <f>SUMIFS('2026'!$B$1:$B$741,'2026'!$K$1:$K$741,"определение собственника",'2026'!$L$1:$L$741,"2026",'2026'!$Q$1:$Q$741,"бесхозяйное",'2026'!$P$1:$P$741,"учет")</f>
        <v>0</v>
      </c>
      <c r="CG11" s="75"/>
      <c r="CH11" s="76"/>
      <c r="CI11" s="89"/>
      <c r="CJ11" s="89"/>
      <c r="CK11" s="64">
        <f t="shared" ref="CK11:CK14" si="77">CL11+CO11</f>
        <v>10</v>
      </c>
      <c r="CL11" s="90">
        <f>CQ11+CV11+DA11</f>
        <v>3</v>
      </c>
      <c r="CM11" s="91">
        <f>CR11+CW11+DB11</f>
        <v>0</v>
      </c>
      <c r="CN11" s="92">
        <f t="shared" ref="CN11:CN14" si="78">IFERROR(CM11/CL11*100,0)</f>
        <v>0</v>
      </c>
      <c r="CO11" s="68">
        <f>CT11+CY11+DD11</f>
        <v>7</v>
      </c>
      <c r="CP11" s="64">
        <f t="shared" ref="CP11:CP14" si="79">CQ11+CT11</f>
        <v>7</v>
      </c>
      <c r="CQ11" s="93">
        <f t="shared" ref="CQ11:CR14" si="80">AG11+BF11</f>
        <v>2</v>
      </c>
      <c r="CR11" s="94">
        <f t="shared" si="80"/>
        <v>0</v>
      </c>
      <c r="CS11" s="95">
        <f t="shared" ref="CS11:CS14" si="81">IFERROR(CR11/CQ11*100,0)</f>
        <v>0</v>
      </c>
      <c r="CT11" s="96">
        <f>AJ11+BI11</f>
        <v>5</v>
      </c>
      <c r="CU11" s="97">
        <f t="shared" ref="CU11:CU14" si="82">CV11+CY11</f>
        <v>0</v>
      </c>
      <c r="CV11" s="93">
        <f>AL11+BK11</f>
        <v>0</v>
      </c>
      <c r="CW11" s="94">
        <f t="shared" ref="CW11" si="83">AM11+BL11</f>
        <v>0</v>
      </c>
      <c r="CX11" s="95">
        <f t="shared" ref="CX11:CX14" si="84">IFERROR(CW11/CV11*100,0)</f>
        <v>0</v>
      </c>
      <c r="CY11" s="96">
        <f>AO11+BN11</f>
        <v>0</v>
      </c>
      <c r="CZ11" s="97">
        <f t="shared" ref="CZ11:CZ14" si="85">DA11+DD11</f>
        <v>3</v>
      </c>
      <c r="DA11" s="93">
        <f t="shared" ref="DA11:DB14" si="86">AQ11+BP11</f>
        <v>1</v>
      </c>
      <c r="DB11" s="94">
        <f t="shared" si="86"/>
        <v>0</v>
      </c>
      <c r="DC11" s="95">
        <f t="shared" ref="DC11:DC14" si="87">IFERROR(DB11/DA11*100,0)</f>
        <v>0</v>
      </c>
      <c r="DD11" s="68">
        <f>AT11+BS11</f>
        <v>2</v>
      </c>
    </row>
    <row r="12" spans="1:108" ht="15.75" x14ac:dyDescent="0.25">
      <c r="A12" s="63" t="s">
        <v>61</v>
      </c>
      <c r="B12" s="64">
        <f t="shared" si="57"/>
        <v>6</v>
      </c>
      <c r="C12" s="65">
        <f t="shared" si="0"/>
        <v>4</v>
      </c>
      <c r="D12" s="66">
        <f t="shared" si="0"/>
        <v>0</v>
      </c>
      <c r="E12" s="67">
        <f t="shared" si="1"/>
        <v>0</v>
      </c>
      <c r="F12" s="68">
        <f t="shared" si="2"/>
        <v>2</v>
      </c>
      <c r="G12" s="69">
        <f t="shared" si="58"/>
        <v>0</v>
      </c>
      <c r="H12" s="70">
        <f t="shared" si="59"/>
        <v>0</v>
      </c>
      <c r="I12" s="71">
        <f t="shared" si="59"/>
        <v>0</v>
      </c>
      <c r="J12" s="72">
        <f t="shared" si="3"/>
        <v>0</v>
      </c>
      <c r="K12" s="69">
        <f t="shared" si="60"/>
        <v>0</v>
      </c>
      <c r="L12" s="98">
        <f t="shared" si="61"/>
        <v>0</v>
      </c>
      <c r="M12" s="99">
        <f>SUMIFS('2026'!$B$1:$B$745,'2026'!$K$1:$K$745,"аренда",'2026'!$L$1:$L$745,"2026",'2026'!$Q$1:$Q$745,"республика")</f>
        <v>0</v>
      </c>
      <c r="N12" s="99">
        <f>SUMIFS('2026'!$B$1:$B$745,'2026'!$K$1:$K$745,"аренда",'2026'!$L$1:$L$745,"2026",'2026'!$Q$1:$Q$745,"республика",'2026'!$P$1:$P$745,"арендован")</f>
        <v>0</v>
      </c>
      <c r="O12" s="100">
        <f t="shared" si="4"/>
        <v>0</v>
      </c>
      <c r="P12" s="101">
        <f>SUMIFS('2026'!$B$1:$B$745,'2026'!$K$1:$K$745,"аренда",'2026'!$L$1:$L$745,"&gt;2026",'2026'!$Q$1:$Q$745,"республика")</f>
        <v>0</v>
      </c>
      <c r="Q12" s="98">
        <f t="shared" si="62"/>
        <v>0</v>
      </c>
      <c r="R12" s="99">
        <f>SUMIFS('2026'!$B$1:$B$745,'2026'!$K$1:$K$745,"аренда",'2026'!$L$1:$L$745,"2026",'2026'!$Q$1:$Q$745,"область")</f>
        <v>0</v>
      </c>
      <c r="S12" s="99">
        <f>SUMIFS('2026'!$B$1:$B$745,'2026'!$K$1:$K$745,"аренда",'2026'!$L$1:$L$745,"2026",'2026'!$Q$1:$Q$745,"область",'2026'!$P$1:$P$745,"арендован")</f>
        <v>0</v>
      </c>
      <c r="T12" s="100">
        <f t="shared" si="5"/>
        <v>0</v>
      </c>
      <c r="U12" s="101">
        <f>SUMIFS('2026'!$B$1:$B$745,'2026'!$K$1:$K$745,"аренда",'2026'!$L$1:$L$745,"&gt;2026",'2026'!$Q$1:$Q$745,"область")</f>
        <v>0</v>
      </c>
      <c r="V12" s="98">
        <f t="shared" si="63"/>
        <v>0</v>
      </c>
      <c r="W12" s="99">
        <f>SUMIFS('2026'!$B$1:$B$745,'2026'!$K$1:$K$745,"аренда",'2026'!$L$1:$L$745,"2026",'2026'!$Q$1:$Q$745,"район")</f>
        <v>0</v>
      </c>
      <c r="X12" s="99">
        <f>SUMIFS('2026'!$B$1:$B$745,'2026'!$K$1:$K$745,"аренда",'2026'!$L$1:$L$745,"2026",'2026'!$Q$1:$Q$745,"район",'2026'!$P$1:$P$745,"арендован")</f>
        <v>0</v>
      </c>
      <c r="Y12" s="100">
        <f t="shared" si="6"/>
        <v>0</v>
      </c>
      <c r="Z12" s="102">
        <f>SUMIFS('2026'!$B$1:$B$745,'2026'!$K$1:$K$745,"аренда",'2026'!$L$1:$L$745,"&gt;2026",'2026'!$Q$1:$Q$745,"район")</f>
        <v>0</v>
      </c>
      <c r="AA12" s="78">
        <f t="shared" si="64"/>
        <v>3</v>
      </c>
      <c r="AB12" s="79">
        <f t="shared" ref="AB12:AC14" si="88">AG12+AL12+AQ12</f>
        <v>3</v>
      </c>
      <c r="AC12" s="79">
        <f t="shared" si="88"/>
        <v>0</v>
      </c>
      <c r="AD12" s="80">
        <f t="shared" si="65"/>
        <v>0</v>
      </c>
      <c r="AE12" s="81">
        <f t="shared" ref="AE12:AE14" si="89">AJ12+AO12+AT12</f>
        <v>0</v>
      </c>
      <c r="AF12" s="99">
        <f t="shared" si="66"/>
        <v>2</v>
      </c>
      <c r="AG12" s="99">
        <f>SUMIFS('2026'!$B$1:$B$745,'2026'!$K$1:$K$745,"аренда",'2026'!$L$1:$L$745,"2026",'2026'!$Q$1:$Q$745,"республика50б")</f>
        <v>2</v>
      </c>
      <c r="AH12" s="99">
        <f>SUMIFS('2026'!$B$1:$B$745,'2026'!$K$1:$K$745,"аренда",'2026'!$L$1:$L$745,"2026",'2026'!$Q$1:$Q$745,"республика50б",'2026'!$P$1:$P$745,"арендован")</f>
        <v>0</v>
      </c>
      <c r="AI12" s="100">
        <f t="shared" si="7"/>
        <v>0</v>
      </c>
      <c r="AJ12" s="101">
        <f>SUMIFS('2026'!$B$1:$B$745,'2026'!$K$1:$K$745,"аренда",'2026'!$L$1:$L$745,"&gt;2026",'2026'!$Q$1:$Q$745,"республика50б")</f>
        <v>0</v>
      </c>
      <c r="AK12" s="98">
        <f t="shared" si="67"/>
        <v>0</v>
      </c>
      <c r="AL12" s="99">
        <f>SUMIFS('2026'!$B$1:$B$745,'2026'!$K$1:$K$745,"аренда",'2026'!$L$1:$L$745,"2026",'2026'!$Q$1:$Q$745,"область50б")</f>
        <v>0</v>
      </c>
      <c r="AM12" s="99">
        <f>SUMIFS('2026'!$B$1:$B$745,'2026'!$K$1:$K$745,"аренда",'2026'!$L$1:$L$745,"2026",'2026'!$Q$1:$Q$745,"область50б",'2026'!$P$1:$P$745,"арендован")</f>
        <v>0</v>
      </c>
      <c r="AN12" s="100">
        <f t="shared" si="8"/>
        <v>0</v>
      </c>
      <c r="AO12" s="101">
        <f>SUMIFS('2026'!$B$1:$B$745,'2026'!$K$1:$K$745,"аренда",'2026'!$L$1:$L$745,"&gt;2026",'2026'!$Q$1:$Q$745,"область50б")</f>
        <v>0</v>
      </c>
      <c r="AP12" s="98">
        <f t="shared" si="68"/>
        <v>1</v>
      </c>
      <c r="AQ12" s="99">
        <f>SUMIFS('2026'!$B$1:$B$745,'2026'!$K$1:$K$745,"аренда",'2026'!$L$1:$L$745,"2026",'2026'!$Q$1:$Q$745,"район50б")</f>
        <v>1</v>
      </c>
      <c r="AR12" s="99">
        <f>SUMIFS('2026'!$B$1:$B$745,'2026'!$K$1:$K$745,"аренда",'2026'!$L$1:$L$745,"2026",'2026'!$Q$1:$Q$745,"район50б",'2026'!$P$1:$P$745,"арендован")</f>
        <v>0</v>
      </c>
      <c r="AS12" s="100">
        <f t="shared" si="9"/>
        <v>0</v>
      </c>
      <c r="AT12" s="102">
        <f>SUMIFS('2026'!$B$1:$B$745,'2026'!$K$1:$K$745,"аренда",'2026'!$L$1:$L$745,"&gt;2026",'2026'!$Q$1:$Q$745,"район50б")</f>
        <v>0</v>
      </c>
      <c r="AU12" s="103">
        <f t="shared" si="10"/>
        <v>3</v>
      </c>
      <c r="AV12" s="104">
        <f t="shared" ref="AV12:AV14" si="90">BA12+BU12+BZ12</f>
        <v>1</v>
      </c>
      <c r="AW12" s="104">
        <f t="shared" si="69"/>
        <v>0</v>
      </c>
      <c r="AX12" s="105">
        <f t="shared" si="70"/>
        <v>0</v>
      </c>
      <c r="AY12" s="106">
        <f t="shared" si="11"/>
        <v>2</v>
      </c>
      <c r="AZ12" s="107">
        <f t="shared" ref="AZ12:AZ14" si="91">BA12+BD12</f>
        <v>0</v>
      </c>
      <c r="BA12" s="108">
        <f t="shared" ref="BA12:BB14" si="92">BF12+BK12+BP12</f>
        <v>0</v>
      </c>
      <c r="BB12" s="108">
        <f t="shared" si="92"/>
        <v>0</v>
      </c>
      <c r="BC12" s="109">
        <f t="shared" si="71"/>
        <v>0</v>
      </c>
      <c r="BD12" s="106">
        <f t="shared" ref="BD12:BD14" si="93">BI12+BN12+BS12</f>
        <v>0</v>
      </c>
      <c r="BE12" s="99">
        <f t="shared" si="72"/>
        <v>0</v>
      </c>
      <c r="BF12" s="99">
        <f>SUMIFS('2026'!$B$1:$B$745,'2026'!$K$1:$K$745,"аренда",'2026'!$L$1:$L$745,"2026",'2026'!$Q$1:$Q$745,"республика50м")</f>
        <v>0</v>
      </c>
      <c r="BG12" s="99">
        <f>SUMIFS('2026'!$B$1:$B$745,'2026'!$K$1:$K$745,"аренда",'2026'!$L$1:$L$745,"2026",'2026'!$Q$1:$Q$745,"республика50м",'2026'!$P$1:$P$745,"арендован")</f>
        <v>0</v>
      </c>
      <c r="BH12" s="100">
        <f t="shared" si="12"/>
        <v>0</v>
      </c>
      <c r="BI12" s="101">
        <f>SUMIFS('2026'!$B$1:$B$745,'2026'!$K$1:$K$745,"аренда",'2026'!$L$1:$L$745,"&gt;2026",'2026'!$Q$1:$Q$745,"республика50м")</f>
        <v>0</v>
      </c>
      <c r="BJ12" s="98">
        <f t="shared" si="73"/>
        <v>0</v>
      </c>
      <c r="BK12" s="99">
        <f>SUMIFS('2026'!$B$1:$B$745,'2026'!$K$1:$K$745,"аренда",'2026'!$L$1:$L$745,"2026",'2026'!$Q$1:$Q$745,"область50м")</f>
        <v>0</v>
      </c>
      <c r="BL12" s="99">
        <f>SUMIFS('2026'!$B$1:$B$745,'2026'!$K$1:$K$745,"аренда",'2026'!$L$1:$L$745,"2026",'2026'!$Q$1:$Q$745,"область50м",'2026'!$P$1:$P$745,"арендован")</f>
        <v>0</v>
      </c>
      <c r="BM12" s="100">
        <f t="shared" si="13"/>
        <v>0</v>
      </c>
      <c r="BN12" s="101">
        <f>SUMIFS('2026'!$B$1:$B$745,'2026'!$K$1:$K$745,"аренда",'2026'!$L$1:$L$745,"&gt;2026",'2026'!$Q$1:$Q$745,"область50м")</f>
        <v>0</v>
      </c>
      <c r="BO12" s="98">
        <f t="shared" si="74"/>
        <v>0</v>
      </c>
      <c r="BP12" s="99">
        <f>SUMIFS('2026'!$B$1:$B$745,'2026'!$K$1:$K$745,"аренда",'2026'!$L$1:$L$745,"2026",'2026'!$Q$1:$Q$745,"район50м")</f>
        <v>0</v>
      </c>
      <c r="BQ12" s="99">
        <f>SUMIFS('2026'!$B$1:$B$745,'2026'!$K$1:$K$745,"аренда",'2026'!$L$1:$L$745,"2026",'2026'!$Q$1:$Q$745,"район50м",'2026'!$P$1:$P$745,"арендован")</f>
        <v>0</v>
      </c>
      <c r="BR12" s="100">
        <f t="shared" si="14"/>
        <v>0</v>
      </c>
      <c r="BS12" s="101">
        <f>SUMIFS('2026'!$B$1:$B$745,'2026'!$K$1:$K$745,"аренда",'2026'!$L$1:$L$745,"&gt;2026",'2026'!$Q$1:$Q$745,"район50м")</f>
        <v>0</v>
      </c>
      <c r="BT12" s="98">
        <f t="shared" si="75"/>
        <v>3</v>
      </c>
      <c r="BU12" s="99">
        <f>SUMIFS('2026'!$B$1:$B$745,'2026'!$K$1:$K$745,"аренда",'2026'!$L$1:$L$745,"2026",'2026'!$Q$1:$Q$745,"райпо")</f>
        <v>1</v>
      </c>
      <c r="BV12" s="99">
        <f>SUMIFS('2026'!$B$1:$B$745,'2026'!$K$1:$K$745,"аренда",'2026'!$L$1:$L$745,"2026",'2026'!$Q$1:$Q$745,"райпо",'2026'!$P$1:$P$745,"арендован")</f>
        <v>0</v>
      </c>
      <c r="BW12" s="100">
        <f t="shared" si="15"/>
        <v>0</v>
      </c>
      <c r="BX12" s="101">
        <f>SUMIFS('2026'!$B$1:$B$745,'2026'!$K$1:$K$745,"аренда",'2026'!$L$1:$L$745,"&gt;2026",'2026'!$Q$1:$Q$745,"райпо")</f>
        <v>2</v>
      </c>
      <c r="BY12" s="98">
        <f t="shared" si="76"/>
        <v>0</v>
      </c>
      <c r="BZ12" s="99">
        <f>SUMIFS('2026'!$B$1:$B$745,'2026'!$K$1:$K$745,"аренда",'2026'!$L$1:$L$745,"2026",'2026'!$Q$1:$Q$745,"инаяч")</f>
        <v>0</v>
      </c>
      <c r="CA12" s="99">
        <f>SUMIFS('2026'!$B$1:$B$745,'2026'!$K$1:$K$745,"аренда",'2026'!$L$1:$L$745,"2026",'2026'!$Q$1:$Q$745,"инаяч",'2026'!$P$1:$P$745,"арендован")</f>
        <v>0</v>
      </c>
      <c r="CB12" s="100">
        <f t="shared" si="16"/>
        <v>0</v>
      </c>
      <c r="CC12" s="101">
        <f>SUMIFS('2026'!$B$1:$B$745,'2026'!$K$1:$K$745,"аренда",'2026'!$L$1:$L$745,"&gt;2026",'2026'!$Q$1:$Q$745,"инаяч")</f>
        <v>0</v>
      </c>
      <c r="CD12" s="98"/>
      <c r="CE12" s="99"/>
      <c r="CF12" s="99"/>
      <c r="CG12" s="100"/>
      <c r="CH12" s="101"/>
      <c r="CI12" s="89"/>
      <c r="CJ12" s="89"/>
      <c r="CK12" s="64">
        <f t="shared" si="77"/>
        <v>3</v>
      </c>
      <c r="CL12" s="90">
        <f>CQ12+CV12+DA12</f>
        <v>3</v>
      </c>
      <c r="CM12" s="91">
        <f t="shared" ref="CM12:CM14" si="94">CR12+CW12+DB12</f>
        <v>0</v>
      </c>
      <c r="CN12" s="92">
        <f t="shared" si="78"/>
        <v>0</v>
      </c>
      <c r="CO12" s="68">
        <f t="shared" ref="CO12:CO14" si="95">CT12+CY12+DD12</f>
        <v>0</v>
      </c>
      <c r="CP12" s="64">
        <f t="shared" si="79"/>
        <v>2</v>
      </c>
      <c r="CQ12" s="93">
        <f t="shared" si="80"/>
        <v>2</v>
      </c>
      <c r="CR12" s="94">
        <f t="shared" si="80"/>
        <v>0</v>
      </c>
      <c r="CS12" s="95">
        <f t="shared" si="81"/>
        <v>0</v>
      </c>
      <c r="CT12" s="96">
        <f>AJ12+BI12</f>
        <v>0</v>
      </c>
      <c r="CU12" s="97">
        <f t="shared" si="82"/>
        <v>0</v>
      </c>
      <c r="CV12" s="93">
        <f>AL12+BK12</f>
        <v>0</v>
      </c>
      <c r="CW12" s="94">
        <f>AM12+BL12</f>
        <v>0</v>
      </c>
      <c r="CX12" s="95">
        <f t="shared" si="84"/>
        <v>0</v>
      </c>
      <c r="CY12" s="96">
        <f>AO12+BN12</f>
        <v>0</v>
      </c>
      <c r="CZ12" s="97">
        <f t="shared" si="85"/>
        <v>1</v>
      </c>
      <c r="DA12" s="93">
        <f t="shared" si="86"/>
        <v>1</v>
      </c>
      <c r="DB12" s="94">
        <f t="shared" si="86"/>
        <v>0</v>
      </c>
      <c r="DC12" s="95">
        <f t="shared" si="87"/>
        <v>0</v>
      </c>
      <c r="DD12" s="68">
        <f>AT12+BS12</f>
        <v>0</v>
      </c>
    </row>
    <row r="13" spans="1:108" ht="15.75" x14ac:dyDescent="0.25">
      <c r="A13" s="63" t="s">
        <v>405</v>
      </c>
      <c r="B13" s="64">
        <f t="shared" si="57"/>
        <v>1</v>
      </c>
      <c r="C13" s="65">
        <f t="shared" si="0"/>
        <v>1</v>
      </c>
      <c r="D13" s="66">
        <f t="shared" si="0"/>
        <v>0</v>
      </c>
      <c r="E13" s="67">
        <f t="shared" si="1"/>
        <v>0</v>
      </c>
      <c r="F13" s="68">
        <f t="shared" si="2"/>
        <v>0</v>
      </c>
      <c r="G13" s="69">
        <f t="shared" si="58"/>
        <v>1</v>
      </c>
      <c r="H13" s="70">
        <f t="shared" si="59"/>
        <v>1</v>
      </c>
      <c r="I13" s="71">
        <f t="shared" si="59"/>
        <v>0</v>
      </c>
      <c r="J13" s="72">
        <f t="shared" si="3"/>
        <v>0</v>
      </c>
      <c r="K13" s="69">
        <f t="shared" si="60"/>
        <v>0</v>
      </c>
      <c r="L13" s="98">
        <f t="shared" si="61"/>
        <v>0</v>
      </c>
      <c r="M13" s="99">
        <f>SUMIFS('2026'!$B$1:$B$745,'2026'!$K$1:$K$745,"передача",'2026'!$L$1:$L$745,"2026",'2026'!$Q$1:$Q$745,"республика")</f>
        <v>0</v>
      </c>
      <c r="N13" s="99">
        <f>SUMIFS('2026'!$B$1:$B$745,'2026'!$K$1:$K$745,"передача",'2026'!$L$1:$L$745,"2026",'2026'!$Q$1:$Q$745,"республика",'2026'!$P$1:$P$745,"передан")</f>
        <v>0</v>
      </c>
      <c r="O13" s="100">
        <f t="shared" si="4"/>
        <v>0</v>
      </c>
      <c r="P13" s="101">
        <f>SUMIFS('2026'!$B$1:$B$745,'2026'!$K$1:$K$745,"передача",'2026'!$L$1:$L$745,"&gt;2026",'2026'!$Q$1:$Q$745,"республика")</f>
        <v>0</v>
      </c>
      <c r="Q13" s="98">
        <f t="shared" si="62"/>
        <v>0</v>
      </c>
      <c r="R13" s="99">
        <f>SUMIFS('2026'!$B$1:$B$745,'2026'!$K$1:$K$745,"передача",'2026'!$L$1:$L$745,"2026",'2026'!$Q$1:$Q$745,"область")</f>
        <v>0</v>
      </c>
      <c r="S13" s="99">
        <f>SUMIFS('2026'!$B$1:$B$745,'2026'!$K$1:$K$745,"передача",'2026'!$L$1:$L$745,"2026",'2026'!$Q$1:$Q$745,"область",'2026'!$P$1:$P$745,"передан")</f>
        <v>0</v>
      </c>
      <c r="T13" s="100">
        <f t="shared" si="5"/>
        <v>0</v>
      </c>
      <c r="U13" s="101">
        <f>SUMIFS('2026'!$B$1:$B$745,'2026'!$K$1:$K$745,"передача",'2026'!$L$1:$L$745,"&gt;2026",'2026'!$Q$1:$Q$745,"область")</f>
        <v>0</v>
      </c>
      <c r="V13" s="98">
        <f t="shared" si="63"/>
        <v>1</v>
      </c>
      <c r="W13" s="99">
        <f>SUMIFS('2026'!$B$1:$B$745,'2026'!$K$1:$K$745,"передача",'2026'!$L$1:$L$745,"2026",'2026'!$Q$1:$Q$745,"район")</f>
        <v>1</v>
      </c>
      <c r="X13" s="99">
        <f>SUMIFS('2026'!$B$1:$B$745,'2026'!$K$1:$K$745,"передача",'2026'!$L$1:$L$745,"2026",'2026'!$Q$1:$Q$745,"район",'2026'!$P$1:$P$745,"передан")</f>
        <v>0</v>
      </c>
      <c r="Y13" s="100">
        <f t="shared" si="6"/>
        <v>0</v>
      </c>
      <c r="Z13" s="102">
        <f>SUMIFS('2026'!$B$1:$B$745,'2026'!$K$1:$K$745,"передача",'2026'!$L$1:$L$745,"&gt;2026",'2026'!$Q$1:$Q$745,"район")</f>
        <v>0</v>
      </c>
      <c r="AA13" s="78">
        <f t="shared" si="64"/>
        <v>0</v>
      </c>
      <c r="AB13" s="79">
        <f t="shared" si="88"/>
        <v>0</v>
      </c>
      <c r="AC13" s="79">
        <f t="shared" si="88"/>
        <v>0</v>
      </c>
      <c r="AD13" s="80">
        <f t="shared" si="65"/>
        <v>0</v>
      </c>
      <c r="AE13" s="81">
        <f t="shared" si="89"/>
        <v>0</v>
      </c>
      <c r="AF13" s="99">
        <f t="shared" si="66"/>
        <v>0</v>
      </c>
      <c r="AG13" s="99">
        <f>SUMIFS('2026'!$B$1:$B$745,'2026'!$K$1:$K$745,"передача",'2026'!$L$1:$L$745,"2026",'2026'!$Q$1:$Q$745,"республика50б")</f>
        <v>0</v>
      </c>
      <c r="AH13" s="99">
        <f>SUMIFS('2026'!$B$1:$B$745,'2026'!$K$1:$K$745,"передача",'2026'!$L$1:$L$745,"2026",'2026'!$Q$1:$Q$745,"республика50б",'2026'!$P$1:$P$745,"передан")</f>
        <v>0</v>
      </c>
      <c r="AI13" s="100">
        <f t="shared" si="7"/>
        <v>0</v>
      </c>
      <c r="AJ13" s="101">
        <f>SUMIFS('2026'!$B$1:$B$745,'2026'!$K$1:$K$745,"передача",'2026'!$L$1:$L$745,"&gt;2026",'2026'!$Q$1:$Q$745,"республика50б")</f>
        <v>0</v>
      </c>
      <c r="AK13" s="98">
        <f t="shared" si="67"/>
        <v>0</v>
      </c>
      <c r="AL13" s="99">
        <f>SUMIFS('2026'!$B$1:$B$745,'2026'!$K$1:$K$745,"передача",'2026'!$L$1:$L$745,"2026",'2026'!$Q$1:$Q$745,"область50б")</f>
        <v>0</v>
      </c>
      <c r="AM13" s="99">
        <f>SUMIFS('2026'!$B$1:$B$745,'2026'!$K$1:$K$745,"передача",'2026'!$L$1:$L$745,"2026",'2026'!$Q$1:$Q$745,"область50б",'2026'!$P$1:$P$745,"передан")</f>
        <v>0</v>
      </c>
      <c r="AN13" s="100">
        <f t="shared" si="8"/>
        <v>0</v>
      </c>
      <c r="AO13" s="101">
        <f>SUMIFS('2026'!$B$1:$B$745,'2026'!$K$1:$K$745,"передача",'2026'!$L$1:$L$745,"&gt;2026",'2026'!$Q$1:$Q$745,"область50б")</f>
        <v>0</v>
      </c>
      <c r="AP13" s="98">
        <f t="shared" si="68"/>
        <v>0</v>
      </c>
      <c r="AQ13" s="99">
        <f>SUMIFS('2026'!$B$1:$B$745,'2026'!$K$1:$K$745,"передача",'2026'!$L$1:$L$745,"2026",'2026'!$Q$1:$Q$745,"район50б")</f>
        <v>0</v>
      </c>
      <c r="AR13" s="99">
        <f>SUMIFS('2026'!$B$1:$B$745,'2026'!$K$1:$K$745,"передача",'2026'!$L$1:$L$745,"2026",'2026'!$Q$1:$Q$745,"район50б",'2026'!$P$1:$P$745,"передан")</f>
        <v>0</v>
      </c>
      <c r="AS13" s="100">
        <f t="shared" si="9"/>
        <v>0</v>
      </c>
      <c r="AT13" s="102">
        <f>SUMIFS('2026'!$B$1:$B$745,'2026'!$K$1:$K$745,"передача",'2026'!$L$1:$L$745,"&gt;2026",'2026'!$Q$1:$Q$745,"район50б")</f>
        <v>0</v>
      </c>
      <c r="AU13" s="103">
        <f t="shared" si="10"/>
        <v>0</v>
      </c>
      <c r="AV13" s="104">
        <f t="shared" si="90"/>
        <v>0</v>
      </c>
      <c r="AW13" s="104">
        <f t="shared" si="69"/>
        <v>0</v>
      </c>
      <c r="AX13" s="105">
        <f t="shared" si="70"/>
        <v>0</v>
      </c>
      <c r="AY13" s="106">
        <f t="shared" si="11"/>
        <v>0</v>
      </c>
      <c r="AZ13" s="107">
        <f t="shared" si="91"/>
        <v>0</v>
      </c>
      <c r="BA13" s="108">
        <f t="shared" si="92"/>
        <v>0</v>
      </c>
      <c r="BB13" s="108">
        <f t="shared" si="92"/>
        <v>0</v>
      </c>
      <c r="BC13" s="109">
        <f t="shared" si="71"/>
        <v>0</v>
      </c>
      <c r="BD13" s="106">
        <f t="shared" si="93"/>
        <v>0</v>
      </c>
      <c r="BE13" s="99">
        <f t="shared" si="72"/>
        <v>0</v>
      </c>
      <c r="BF13" s="99">
        <f>SUMIFS('2026'!$B$1:$B$745,'2026'!$K$1:$K$745,"передача",'2026'!$L$1:$L$745,"2026",'2026'!$Q$1:$Q$745,"республика50м")</f>
        <v>0</v>
      </c>
      <c r="BG13" s="99">
        <f>SUMIFS('2026'!$B$1:$B$745,'2026'!$K$1:$K$745,"передача",'2026'!$L$1:$L$745,"2026",'2026'!$Q$1:$Q$745,"республика50м",'2026'!$P$1:$P$745,"передан")</f>
        <v>0</v>
      </c>
      <c r="BH13" s="100">
        <f t="shared" si="12"/>
        <v>0</v>
      </c>
      <c r="BI13" s="101">
        <f>SUMIFS('2026'!$B$1:$B$745,'2026'!$K$1:$K$745,"передача",'2026'!$L$1:$L$745,"&gt;2026",'2026'!$Q$1:$Q$745,"республика50м")</f>
        <v>0</v>
      </c>
      <c r="BJ13" s="98">
        <f t="shared" si="73"/>
        <v>0</v>
      </c>
      <c r="BK13" s="99">
        <f>SUMIFS('2026'!$B$1:$B$745,'2026'!$K$1:$K$745,"передача",'2026'!$L$1:$L$745,"2026",'2026'!$Q$1:$Q$745,"область50м")</f>
        <v>0</v>
      </c>
      <c r="BL13" s="99">
        <f>SUMIFS('2026'!$B$1:$B$745,'2026'!$K$1:$K$745,"передача",'2026'!$L$1:$L$745,"2026",'2026'!$Q$1:$Q$745,"область50м",'2026'!$P$1:$P$745,"передан")</f>
        <v>0</v>
      </c>
      <c r="BM13" s="100">
        <f t="shared" si="13"/>
        <v>0</v>
      </c>
      <c r="BN13" s="101">
        <f>SUMIFS('2026'!$B$1:$B$745,'2026'!$K$1:$K$745,"передача",'2026'!$L$1:$L$745,"&gt;2026",'2026'!$Q$1:$Q$745,"область50м")</f>
        <v>0</v>
      </c>
      <c r="BO13" s="98">
        <f t="shared" si="74"/>
        <v>0</v>
      </c>
      <c r="BP13" s="99">
        <f>SUMIFS('2026'!$B$1:$B$745,'2026'!$K$1:$K$745,"передача",'2026'!$L$1:$L$745,"2026",'2026'!$Q$1:$Q$745,"район50м")</f>
        <v>0</v>
      </c>
      <c r="BQ13" s="99">
        <f>SUMIFS('2026'!$B$1:$B$745,'2026'!$K$1:$K$745,"передача",'2026'!$L$1:$L$745,"2026",'2026'!$Q$1:$Q$745,"район50м",'2026'!$P$1:$P$745,"передан")</f>
        <v>0</v>
      </c>
      <c r="BR13" s="100">
        <f t="shared" si="14"/>
        <v>0</v>
      </c>
      <c r="BS13" s="101">
        <f>SUMIFS('2026'!$B$1:$B$745,'2026'!$K$1:$K$745,"передача",'2026'!$L$1:$L$745,"&gt;2026",'2026'!$Q$1:$Q$745,"район50м")</f>
        <v>0</v>
      </c>
      <c r="BT13" s="98">
        <f t="shared" si="75"/>
        <v>0</v>
      </c>
      <c r="BU13" s="99">
        <f>SUMIFS('2026'!$B$1:$B$745,'2026'!$K$1:$K$745,"передача",'2026'!$L$1:$L$745,"2026",'2026'!$Q$1:$Q$745,"райпо")</f>
        <v>0</v>
      </c>
      <c r="BV13" s="99">
        <f>SUMIFS('2026'!$B$1:$B$745,'2026'!$K$1:$K$745,"передача",'2026'!$L$1:$L$745,"2026",'2026'!$Q$1:$Q$745,"райпо",'2026'!$P$1:$P$745,"передан")</f>
        <v>0</v>
      </c>
      <c r="BW13" s="100">
        <f t="shared" si="15"/>
        <v>0</v>
      </c>
      <c r="BX13" s="101">
        <f>SUMIFS('2026'!$B$1:$B$745,'2026'!$K$1:$K$745,"передача",'2026'!$L$1:$L$745,"&gt;2026",'2026'!$Q$1:$Q$745,"райпо")</f>
        <v>0</v>
      </c>
      <c r="BY13" s="98">
        <f t="shared" si="76"/>
        <v>0</v>
      </c>
      <c r="BZ13" s="99">
        <f>SUMIFS('2026'!$B$1:$B$745,'2026'!$K$1:$K$745,"передача",'2026'!$L$1:$L$745,"2026",'2026'!$Q$1:$Q$745,"инаяч")</f>
        <v>0</v>
      </c>
      <c r="CA13" s="99">
        <f>SUMIFS('2026'!$B$1:$B$745,'2026'!$K$1:$K$745,"передача",'2026'!$L$1:$L$745,"2026",'2026'!$Q$1:$Q$745,"инаяч",'2026'!$P$1:$P$745,"передан")</f>
        <v>0</v>
      </c>
      <c r="CB13" s="100">
        <f t="shared" si="16"/>
        <v>0</v>
      </c>
      <c r="CC13" s="101">
        <f>SUMIFS('2026'!$B$1:$B$745,'2026'!$K$1:$K$745,"передача",'2026'!$L$1:$L$745,"&gt;2026",'2026'!$Q$1:$Q$745,"инаяч")</f>
        <v>0</v>
      </c>
      <c r="CD13" s="98"/>
      <c r="CE13" s="99"/>
      <c r="CF13" s="99"/>
      <c r="CG13" s="100"/>
      <c r="CH13" s="101"/>
      <c r="CI13" s="89"/>
      <c r="CJ13" s="89"/>
      <c r="CK13" s="64">
        <f t="shared" si="77"/>
        <v>0</v>
      </c>
      <c r="CL13" s="90">
        <f t="shared" ref="CL13:CL14" si="96">CQ13+CV13+DA13</f>
        <v>0</v>
      </c>
      <c r="CM13" s="91">
        <f t="shared" si="94"/>
        <v>0</v>
      </c>
      <c r="CN13" s="92">
        <f t="shared" si="78"/>
        <v>0</v>
      </c>
      <c r="CO13" s="68">
        <f t="shared" si="95"/>
        <v>0</v>
      </c>
      <c r="CP13" s="64">
        <f t="shared" si="79"/>
        <v>0</v>
      </c>
      <c r="CQ13" s="93">
        <f t="shared" si="80"/>
        <v>0</v>
      </c>
      <c r="CR13" s="94">
        <f t="shared" si="80"/>
        <v>0</v>
      </c>
      <c r="CS13" s="95">
        <f t="shared" si="81"/>
        <v>0</v>
      </c>
      <c r="CT13" s="96">
        <f>AJ13+BI13</f>
        <v>0</v>
      </c>
      <c r="CU13" s="97">
        <f t="shared" si="82"/>
        <v>0</v>
      </c>
      <c r="CV13" s="93">
        <f>AL13+BK13</f>
        <v>0</v>
      </c>
      <c r="CW13" s="94">
        <f>AM13+BL13</f>
        <v>0</v>
      </c>
      <c r="CX13" s="95">
        <f t="shared" si="84"/>
        <v>0</v>
      </c>
      <c r="CY13" s="96">
        <f>AO13+BN13</f>
        <v>0</v>
      </c>
      <c r="CZ13" s="97">
        <f t="shared" si="85"/>
        <v>0</v>
      </c>
      <c r="DA13" s="93">
        <f t="shared" si="86"/>
        <v>0</v>
      </c>
      <c r="DB13" s="94">
        <f t="shared" si="86"/>
        <v>0</v>
      </c>
      <c r="DC13" s="95">
        <f t="shared" si="87"/>
        <v>0</v>
      </c>
      <c r="DD13" s="68">
        <f>AT13+BS13</f>
        <v>0</v>
      </c>
    </row>
    <row r="14" spans="1:108" ht="16.5" thickBot="1" x14ac:dyDescent="0.3">
      <c r="A14" s="142" t="s">
        <v>406</v>
      </c>
      <c r="B14" s="143">
        <f>C14+F14</f>
        <v>149</v>
      </c>
      <c r="C14" s="144">
        <f t="shared" si="0"/>
        <v>23</v>
      </c>
      <c r="D14" s="145">
        <f t="shared" si="0"/>
        <v>0</v>
      </c>
      <c r="E14" s="146">
        <f t="shared" si="1"/>
        <v>0</v>
      </c>
      <c r="F14" s="147">
        <f t="shared" si="2"/>
        <v>126</v>
      </c>
      <c r="G14" s="148">
        <f t="shared" si="58"/>
        <v>0</v>
      </c>
      <c r="H14" s="149">
        <f t="shared" si="59"/>
        <v>0</v>
      </c>
      <c r="I14" s="150">
        <f t="shared" si="59"/>
        <v>0</v>
      </c>
      <c r="J14" s="151">
        <f t="shared" si="3"/>
        <v>0</v>
      </c>
      <c r="K14" s="148">
        <f t="shared" si="60"/>
        <v>0</v>
      </c>
      <c r="L14" s="112">
        <f t="shared" si="61"/>
        <v>0</v>
      </c>
      <c r="M14" s="113">
        <f>SUMIFS('2026'!$B$1:$B$745,'2026'!$K$1:$K$745,"использование в собственных целях",'2026'!$L$1:$L$745,"2026",'2026'!$Q$1:$Q$745,"республика")</f>
        <v>0</v>
      </c>
      <c r="N14" s="113">
        <f>SUMIFS('2026'!$B$1:$B$745,'2026'!$K$1:$K$745,"использование в собственных целях",'2026'!$L$1:$L$745,"2026",'2026'!$Q$1:$Q$745,"республика",'2026'!$P$1:$P$745,"используется")</f>
        <v>0</v>
      </c>
      <c r="O14" s="152">
        <f t="shared" si="4"/>
        <v>0</v>
      </c>
      <c r="P14" s="115">
        <f>SUMIFS('2026'!$B$1:$B$745,'2026'!$K$1:$K$745,"использование в собственных целях",'2026'!$L$1:$L$745,"&gt;2026",'2026'!$Q$1:$Q$745,"республика")</f>
        <v>0</v>
      </c>
      <c r="Q14" s="112">
        <f t="shared" si="62"/>
        <v>0</v>
      </c>
      <c r="R14" s="113">
        <f>SUMIFS('2026'!$B$1:$B$745,'2026'!$K$1:$K$745,"использование в собственных целях",'2026'!$L$1:$L$745,"2026",'2026'!$Q$1:$Q$745,"область")</f>
        <v>0</v>
      </c>
      <c r="S14" s="113">
        <f>SUMIFS('2026'!$B$1:$B$745,'2026'!$K$1:$K$745,"использование в собственных целях",'2026'!$L$1:$L$745,"2026",'2026'!$Q$1:$Q$745,"область",'2026'!$P$1:$P$745,"используется")</f>
        <v>0</v>
      </c>
      <c r="T14" s="152">
        <f t="shared" si="5"/>
        <v>0</v>
      </c>
      <c r="U14" s="115">
        <f>SUMIFS('2026'!$B$1:$B$745,'2026'!$K$1:$K$745,"использование в собственных целях",'2026'!$L$1:$L$745,"&gt;2026",'2026'!$Q$1:$Q$745,"область")</f>
        <v>0</v>
      </c>
      <c r="V14" s="112">
        <f t="shared" si="63"/>
        <v>0</v>
      </c>
      <c r="W14" s="113">
        <f>SUMIFS('2026'!$B$1:$B$745,'2026'!$K$1:$K$745,"использование в собственных целях",'2026'!$L$1:$L$745,"2026",'2026'!$Q$1:$Q$745,"район")</f>
        <v>0</v>
      </c>
      <c r="X14" s="113">
        <f>SUMIFS('2026'!$B$1:$B$745,'2026'!$K$1:$K$745,"использование в собственных целях",'2026'!$L$1:$L$745,"2026",'2026'!$Q$1:$Q$745,"район",'2026'!$P$1:$P$745,"используется")</f>
        <v>0</v>
      </c>
      <c r="Y14" s="152">
        <f t="shared" si="6"/>
        <v>0</v>
      </c>
      <c r="Z14" s="116">
        <f>SUMIFS('2026'!$B$1:$B$745,'2026'!$K$1:$K$745,"использование в собственных целях",'2026'!$L$1:$L$745,"&gt;2026",'2026'!$Q$1:$Q$745,"район")</f>
        <v>0</v>
      </c>
      <c r="AA14" s="117">
        <f t="shared" si="64"/>
        <v>85</v>
      </c>
      <c r="AB14" s="118">
        <f t="shared" si="88"/>
        <v>13</v>
      </c>
      <c r="AC14" s="118">
        <f t="shared" si="88"/>
        <v>0</v>
      </c>
      <c r="AD14" s="119">
        <f t="shared" si="65"/>
        <v>0</v>
      </c>
      <c r="AE14" s="120">
        <f t="shared" si="89"/>
        <v>72</v>
      </c>
      <c r="AF14" s="113">
        <f t="shared" si="66"/>
        <v>1</v>
      </c>
      <c r="AG14" s="113">
        <f>SUMIFS('2026'!$B$1:$B$745,'2026'!$K$1:$K$745,"использование в собственных целях",'2026'!$L$1:$L$745,"2026",'2026'!$Q$1:$Q$745,"республика50б")</f>
        <v>1</v>
      </c>
      <c r="AH14" s="113">
        <f>SUMIFS('2026'!$B$1:$B$745,'2026'!$K$1:$K$745,"использование в собственных целях",'2026'!$L$1:$L$745,"2026",'2026'!$Q$1:$Q$745,"республика50б",'2026'!$P$1:$P$745,"используется")</f>
        <v>0</v>
      </c>
      <c r="AI14" s="152">
        <f t="shared" si="7"/>
        <v>0</v>
      </c>
      <c r="AJ14" s="115">
        <f>SUMIFS('2026'!$B$1:$B$745,'2026'!$K$1:$K$745,"использование в собственных целях",'2026'!$L$1:$L$745,"&gt;2026",'2026'!$Q$1:$Q$745,"республика50б")</f>
        <v>0</v>
      </c>
      <c r="AK14" s="112">
        <f t="shared" si="67"/>
        <v>0</v>
      </c>
      <c r="AL14" s="113">
        <f>SUMIFS('2026'!$B$1:$B$745,'2026'!$K$1:$K$745,"использование в собственных целях",'2026'!$L$1:$L$745,"2026",'2026'!$Q$1:$Q$745,"область50б")</f>
        <v>0</v>
      </c>
      <c r="AM14" s="113">
        <f>SUMIFS('2026'!$B$1:$B$745,'2026'!$K$1:$K$745,"использование в собственных целях",'2026'!$L$1:$L$745,"2026",'2026'!$Q$1:$Q$745,"область50б",'2026'!$P$1:$P$745,"используется")</f>
        <v>0</v>
      </c>
      <c r="AN14" s="152">
        <f t="shared" si="8"/>
        <v>0</v>
      </c>
      <c r="AO14" s="115">
        <f>SUMIFS('2026'!$B$1:$B$745,'2026'!$K$1:$K$745,"использование в собственных целях",'2026'!$L$1:$L$745,"&gt;2026",'2026'!$Q$1:$Q$745,"область50б")</f>
        <v>0</v>
      </c>
      <c r="AP14" s="112">
        <f t="shared" si="68"/>
        <v>84</v>
      </c>
      <c r="AQ14" s="113">
        <f>SUMIFS('2026'!$B$1:$B$745,'2026'!$K$1:$K$745,"использование в собственных целях",'2026'!$L$1:$L$745,"2026",'2026'!$Q$1:$Q$745,"район50б")</f>
        <v>12</v>
      </c>
      <c r="AR14" s="113">
        <f>SUMIFS('2026'!$B$1:$B$745,'2026'!$K$1:$K$745,"использование в собственных целях",'2026'!$L$1:$L$745,"2026",'2026'!$Q$1:$Q$745,"район50б",'2026'!$P$1:$P$745,"используется")</f>
        <v>0</v>
      </c>
      <c r="AS14" s="152">
        <f t="shared" si="9"/>
        <v>0</v>
      </c>
      <c r="AT14" s="116">
        <f>SUMIFS('2026'!$B$1:$B$745,'2026'!$K$1:$K$745,"использование в собственных целях",'2026'!$L$1:$L$745,"&gt;2026",'2026'!$Q$1:$Q$745,"район50б")</f>
        <v>72</v>
      </c>
      <c r="AU14" s="121">
        <f t="shared" si="10"/>
        <v>64</v>
      </c>
      <c r="AV14" s="122">
        <f t="shared" si="90"/>
        <v>10</v>
      </c>
      <c r="AW14" s="122">
        <f t="shared" si="69"/>
        <v>0</v>
      </c>
      <c r="AX14" s="123">
        <f t="shared" si="70"/>
        <v>0</v>
      </c>
      <c r="AY14" s="124">
        <f t="shared" si="11"/>
        <v>54</v>
      </c>
      <c r="AZ14" s="125">
        <f t="shared" si="91"/>
        <v>0</v>
      </c>
      <c r="BA14" s="126">
        <f t="shared" si="92"/>
        <v>0</v>
      </c>
      <c r="BB14" s="126">
        <f t="shared" si="92"/>
        <v>0</v>
      </c>
      <c r="BC14" s="127">
        <f t="shared" si="71"/>
        <v>0</v>
      </c>
      <c r="BD14" s="124">
        <f t="shared" si="93"/>
        <v>0</v>
      </c>
      <c r="BE14" s="113">
        <f t="shared" si="72"/>
        <v>0</v>
      </c>
      <c r="BF14" s="113">
        <f>SUMIFS('2026'!$B$1:$B$745,'2026'!$K$1:$K$745,"использование в собственных целях",'2026'!$L$1:$L$745,"2026",'2026'!$Q$1:$Q$745,"республика50м")</f>
        <v>0</v>
      </c>
      <c r="BG14" s="113">
        <f>SUMIFS('2026'!$B$1:$B$745,'2026'!$K$1:$K$745,"использование в собственных целях",'2026'!$L$1:$L$745,"2026",'2026'!$Q$1:$Q$745,"республика50м",'2026'!$P$1:$P$745,"используется")</f>
        <v>0</v>
      </c>
      <c r="BH14" s="152">
        <f t="shared" si="12"/>
        <v>0</v>
      </c>
      <c r="BI14" s="115">
        <f>SUMIFS('2026'!$B$1:$B$745,'2026'!$K$1:$K$745,"использование в собственных целях",'2026'!$L$1:$L$745,"&gt;2026",'2026'!$Q$1:$Q$745,"республика50м")</f>
        <v>0</v>
      </c>
      <c r="BJ14" s="112">
        <f t="shared" si="73"/>
        <v>0</v>
      </c>
      <c r="BK14" s="113">
        <f>SUMIFS('2026'!$B$1:$B$745,'2026'!$K$1:$K$745,"использование в собственных целях",'2026'!$L$1:$L$745,"2026",'2026'!$Q$1:$Q$745,"область50м")</f>
        <v>0</v>
      </c>
      <c r="BL14" s="113">
        <f>SUMIFS('2026'!$B$1:$B$745,'2026'!$K$1:$K$745,"использование в собственных целях",'2026'!$L$1:$L$745,"2026",'2026'!$Q$1:$Q$745,"область50м",'2026'!$P$1:$P$745,"используется")</f>
        <v>0</v>
      </c>
      <c r="BM14" s="152">
        <f t="shared" si="13"/>
        <v>0</v>
      </c>
      <c r="BN14" s="115">
        <f>SUMIFS('2026'!$B$1:$B$745,'2026'!$K$1:$K$745,"использование в собственных целях",'2026'!$L$1:$L$745,"&gt;2026",'2026'!$Q$1:$Q$745,"область50м")</f>
        <v>0</v>
      </c>
      <c r="BO14" s="112">
        <f t="shared" si="74"/>
        <v>0</v>
      </c>
      <c r="BP14" s="113">
        <f>SUMIFS('2026'!$B$1:$B$745,'2026'!$K$1:$K$745,"использование в собственных целях",'2026'!$L$1:$L$745,"2026",'2026'!$Q$1:$Q$745,"район50м")</f>
        <v>0</v>
      </c>
      <c r="BQ14" s="113">
        <f>SUMIFS('2026'!$B$1:$B$745,'2026'!$K$1:$K$745,"использование в собственных целях",'2026'!$L$1:$L$745,"2026",'2026'!$Q$1:$Q$745,"район50м",'2026'!$P$1:$P$745,"используется")</f>
        <v>0</v>
      </c>
      <c r="BR14" s="152">
        <f t="shared" si="14"/>
        <v>0</v>
      </c>
      <c r="BS14" s="115">
        <f>SUMIFS('2026'!$B$1:$B$745,'2026'!$K$1:$K$745,"использование в собственных целях",'2026'!$L$1:$L$745,"&gt;2026",'2026'!$Q$1:$Q$745,"район50м")</f>
        <v>0</v>
      </c>
      <c r="BT14" s="112">
        <f t="shared" si="75"/>
        <v>0</v>
      </c>
      <c r="BU14" s="113">
        <f>SUMIFS('2026'!$B$1:$B$745,'2026'!$K$1:$K$745,"использование в собственных целях",'2026'!$L$1:$L$745,"2026",'2026'!$Q$1:$Q$745,"райпо")</f>
        <v>0</v>
      </c>
      <c r="BV14" s="113">
        <f>SUMIFS('2026'!$B$1:$B$745,'2026'!$K$1:$K$745,"использование в собственных целях",'2026'!$L$1:$L$745,"2026",'2026'!$Q$1:$Q$745,"райпо",'2026'!$P$1:$P$745,"используется")</f>
        <v>0</v>
      </c>
      <c r="BW14" s="152">
        <f t="shared" si="15"/>
        <v>0</v>
      </c>
      <c r="BX14" s="115">
        <f>SUMIFS('2026'!$B$1:$B$745,'2026'!$K$1:$K$745,"использование в собственных целях",'2026'!$L$1:$L$745,"&gt;2026",'2026'!$Q$1:$Q$745,"райпо")</f>
        <v>0</v>
      </c>
      <c r="BY14" s="112">
        <f t="shared" si="76"/>
        <v>64</v>
      </c>
      <c r="BZ14" s="113">
        <f>SUMIFS('2026'!$B$1:$B$745,'2026'!$K$1:$K$745,"использование в собственных целях",'2026'!$L$1:$L$745,"2026",'2026'!$Q$1:$Q$745,"инаяч")</f>
        <v>10</v>
      </c>
      <c r="CA14" s="113">
        <f>SUMIFS('2026'!$B$1:$B$745,'2026'!$K$1:$K$745,"использование в собственных целях",'2026'!$L$1:$L$745,"2026",'2026'!$Q$1:$Q$745,"инаяч",'2026'!$P$1:$P$745,"используется")</f>
        <v>0</v>
      </c>
      <c r="CB14" s="152">
        <f t="shared" si="16"/>
        <v>0</v>
      </c>
      <c r="CC14" s="115">
        <f>SUMIFS('2026'!$B$1:$B$745,'2026'!$K$1:$K$745,"использование в собственных целях",'2026'!$L$1:$L$745,"&gt;2026",'2026'!$Q$1:$Q$745,"инаяч")</f>
        <v>54</v>
      </c>
      <c r="CD14" s="112"/>
      <c r="CE14" s="113"/>
      <c r="CF14" s="113"/>
      <c r="CG14" s="152"/>
      <c r="CH14" s="115"/>
      <c r="CI14" s="89"/>
      <c r="CJ14" s="89"/>
      <c r="CK14" s="64">
        <f t="shared" si="77"/>
        <v>85</v>
      </c>
      <c r="CL14" s="90">
        <f t="shared" si="96"/>
        <v>13</v>
      </c>
      <c r="CM14" s="91">
        <f t="shared" si="94"/>
        <v>0</v>
      </c>
      <c r="CN14" s="92">
        <f t="shared" si="78"/>
        <v>0</v>
      </c>
      <c r="CO14" s="68">
        <f t="shared" si="95"/>
        <v>72</v>
      </c>
      <c r="CP14" s="64">
        <f t="shared" si="79"/>
        <v>1</v>
      </c>
      <c r="CQ14" s="93">
        <f t="shared" si="80"/>
        <v>1</v>
      </c>
      <c r="CR14" s="94">
        <f t="shared" si="80"/>
        <v>0</v>
      </c>
      <c r="CS14" s="95">
        <f t="shared" si="81"/>
        <v>0</v>
      </c>
      <c r="CT14" s="96">
        <f>AJ14+BI14</f>
        <v>0</v>
      </c>
      <c r="CU14" s="97">
        <f t="shared" si="82"/>
        <v>0</v>
      </c>
      <c r="CV14" s="93">
        <f>AL14+BK14</f>
        <v>0</v>
      </c>
      <c r="CW14" s="94">
        <f>AM14+BL14</f>
        <v>0</v>
      </c>
      <c r="CX14" s="95">
        <f t="shared" si="84"/>
        <v>0</v>
      </c>
      <c r="CY14" s="96">
        <f>AO14+BN14</f>
        <v>0</v>
      </c>
      <c r="CZ14" s="97">
        <f t="shared" si="85"/>
        <v>84</v>
      </c>
      <c r="DA14" s="93">
        <f t="shared" si="86"/>
        <v>12</v>
      </c>
      <c r="DB14" s="94">
        <f t="shared" si="86"/>
        <v>0</v>
      </c>
      <c r="DC14" s="95">
        <f t="shared" si="87"/>
        <v>0</v>
      </c>
      <c r="DD14" s="68">
        <f>AT14+BS14</f>
        <v>72</v>
      </c>
    </row>
    <row r="15" spans="1:108" ht="15" x14ac:dyDescent="0.25">
      <c r="CF15" t="s">
        <v>444</v>
      </c>
    </row>
    <row r="16" spans="1:108" ht="15.75" x14ac:dyDescent="0.25">
      <c r="A16" s="186" t="s">
        <v>441</v>
      </c>
      <c r="B16" s="187">
        <f>CD5</f>
        <v>6</v>
      </c>
      <c r="C16" s="188" t="s">
        <v>442</v>
      </c>
      <c r="CF16" t="s">
        <v>445</v>
      </c>
    </row>
    <row r="17" spans="1:3" ht="15" x14ac:dyDescent="0.25">
      <c r="A17" s="188"/>
      <c r="B17" s="188">
        <f>CD10</f>
        <v>6</v>
      </c>
      <c r="C17" s="188" t="s">
        <v>443</v>
      </c>
    </row>
  </sheetData>
  <sheetProtection algorithmName="SHA-512" hashValue="8RS3jxTnbj6LMAfgLafScs5TgX6CjIxHNuuFW0qnxn2AmndfQI4jo3oAEc0vndjU7wr/Io8JCJ3vIwFHFiMmdQ==" saltValue="yytCq3KYtS06YQpq0fAMfg==" spinCount="100000" sheet="1" objects="1" scenarios="1"/>
  <mergeCells count="89">
    <mergeCell ref="CZ3:CZ4"/>
    <mergeCell ref="DA3:DC3"/>
    <mergeCell ref="DD3:DD4"/>
    <mergeCell ref="CP3:CP4"/>
    <mergeCell ref="CQ3:CS3"/>
    <mergeCell ref="CT3:CT4"/>
    <mergeCell ref="CU3:CU4"/>
    <mergeCell ref="CV3:CX3"/>
    <mergeCell ref="CY3:CY4"/>
    <mergeCell ref="CO3:CO4"/>
    <mergeCell ref="BT3:BT4"/>
    <mergeCell ref="BU3:BW3"/>
    <mergeCell ref="BX3:BX4"/>
    <mergeCell ref="BY3:BY4"/>
    <mergeCell ref="BZ3:CB3"/>
    <mergeCell ref="CC3:CC4"/>
    <mergeCell ref="CD3:CD4"/>
    <mergeCell ref="CE3:CG3"/>
    <mergeCell ref="CH3:CH4"/>
    <mergeCell ref="CK3:CK4"/>
    <mergeCell ref="CL3:CN3"/>
    <mergeCell ref="AT3:AT4"/>
    <mergeCell ref="AU3:AU4"/>
    <mergeCell ref="AV3:AX3"/>
    <mergeCell ref="BS3:BS4"/>
    <mergeCell ref="AZ3:AZ4"/>
    <mergeCell ref="BA3:BC3"/>
    <mergeCell ref="BD3:BD4"/>
    <mergeCell ref="BE3:BE4"/>
    <mergeCell ref="BF3:BH3"/>
    <mergeCell ref="BI3:BI4"/>
    <mergeCell ref="BJ3:BJ4"/>
    <mergeCell ref="BK3:BM3"/>
    <mergeCell ref="BN3:BN4"/>
    <mergeCell ref="BO3:BO4"/>
    <mergeCell ref="BP3:BR3"/>
    <mergeCell ref="AK3:AK4"/>
    <mergeCell ref="AL3:AN3"/>
    <mergeCell ref="AO3:AO4"/>
    <mergeCell ref="AP3:AP4"/>
    <mergeCell ref="AQ3:AS3"/>
    <mergeCell ref="CP2:CT2"/>
    <mergeCell ref="B3:B4"/>
    <mergeCell ref="C3:E3"/>
    <mergeCell ref="F3:F4"/>
    <mergeCell ref="G3:G4"/>
    <mergeCell ref="H3:J3"/>
    <mergeCell ref="AE3:AE4"/>
    <mergeCell ref="L3:L4"/>
    <mergeCell ref="M3:O3"/>
    <mergeCell ref="P3:P4"/>
    <mergeCell ref="Q3:Q4"/>
    <mergeCell ref="R3:T3"/>
    <mergeCell ref="U3:U4"/>
    <mergeCell ref="V3:V4"/>
    <mergeCell ref="W3:Y3"/>
    <mergeCell ref="Z3:Z4"/>
    <mergeCell ref="CU2:CY2"/>
    <mergeCell ref="CZ2:DD2"/>
    <mergeCell ref="CK1:DD1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CD1:CH2"/>
    <mergeCell ref="BT2:BX2"/>
    <mergeCell ref="BY2:CC2"/>
    <mergeCell ref="CK2:CO2"/>
    <mergeCell ref="A1:A4"/>
    <mergeCell ref="B1:F2"/>
    <mergeCell ref="G1:Z1"/>
    <mergeCell ref="AA1:AT1"/>
    <mergeCell ref="AU1:CC1"/>
    <mergeCell ref="AZ2:BD2"/>
    <mergeCell ref="BE2:BI2"/>
    <mergeCell ref="BJ2:BN2"/>
    <mergeCell ref="BO2:BS2"/>
    <mergeCell ref="K3:K4"/>
    <mergeCell ref="AA3:AA4"/>
    <mergeCell ref="AB3:AD3"/>
    <mergeCell ref="AY3:AY4"/>
    <mergeCell ref="AF3:AF4"/>
    <mergeCell ref="AG3:AI3"/>
    <mergeCell ref="AJ3:A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счет</vt:lpstr>
      <vt:lpstr>'2026'!Область_печати</vt:lpstr>
    </vt:vector>
  </TitlesOfParts>
  <Company>Reanimator 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Паршуто Ольга Анатольевна</cp:lastModifiedBy>
  <cp:lastPrinted>2026-05-04T09:24:03Z</cp:lastPrinted>
  <dcterms:created xsi:type="dcterms:W3CDTF">2015-04-26T23:46:38Z</dcterms:created>
  <dcterms:modified xsi:type="dcterms:W3CDTF">2026-05-06T13:03:29Z</dcterms:modified>
</cp:coreProperties>
</file>