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аршуто Ольга Анатольевна\2026 на сайт\на сайт от 06.05.2026\"/>
    </mc:Choice>
  </mc:AlternateContent>
  <xr:revisionPtr revIDLastSave="0" documentId="13_ncr:1_{34A09952-B447-429B-BD38-F5E675300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счет" sheetId="3" r:id="rId2"/>
  </sheets>
  <definedNames>
    <definedName name="_xlnm._FilterDatabase" localSheetId="0" hidden="1">'2026'!$A$11:$R$75</definedName>
    <definedName name="_xlnm.Print_Area" localSheetId="0">'2026'!$A$1:$N$74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Y62" i="3" l="1"/>
  <c r="CX62" i="3"/>
  <c r="CS62" i="3"/>
  <c r="CR62" i="3"/>
  <c r="CM62" i="3"/>
  <c r="CL62" i="3"/>
  <c r="CG62" i="3"/>
  <c r="CF62" i="3"/>
  <c r="CA62" i="3"/>
  <c r="BZ62" i="3"/>
  <c r="BU62" i="3"/>
  <c r="BT62" i="3"/>
  <c r="BC62" i="3"/>
  <c r="BB62" i="3"/>
  <c r="AW62" i="3"/>
  <c r="AV62" i="3"/>
  <c r="AQ62" i="3"/>
  <c r="AP62" i="3"/>
  <c r="AE62" i="3"/>
  <c r="AD62" i="3"/>
  <c r="Y62" i="3"/>
  <c r="X62" i="3"/>
  <c r="S62" i="3"/>
  <c r="R62" i="3"/>
  <c r="CY61" i="3"/>
  <c r="CX61" i="3"/>
  <c r="CS61" i="3"/>
  <c r="CR61" i="3"/>
  <c r="CM61" i="3"/>
  <c r="CL61" i="3"/>
  <c r="CG61" i="3"/>
  <c r="CF61" i="3"/>
  <c r="CA61" i="3"/>
  <c r="BZ61" i="3"/>
  <c r="BU61" i="3"/>
  <c r="BT61" i="3"/>
  <c r="BC61" i="3"/>
  <c r="BB61" i="3"/>
  <c r="AW61" i="3"/>
  <c r="AV61" i="3"/>
  <c r="AQ61" i="3"/>
  <c r="AP61" i="3"/>
  <c r="AE61" i="3"/>
  <c r="AD61" i="3"/>
  <c r="Y61" i="3"/>
  <c r="X61" i="3"/>
  <c r="S61" i="3"/>
  <c r="R61" i="3"/>
  <c r="CY60" i="3"/>
  <c r="CX60" i="3"/>
  <c r="CS60" i="3"/>
  <c r="CR60" i="3"/>
  <c r="CM60" i="3"/>
  <c r="CL60" i="3"/>
  <c r="CG60" i="3"/>
  <c r="CF60" i="3"/>
  <c r="CA60" i="3"/>
  <c r="BZ60" i="3"/>
  <c r="BU60" i="3"/>
  <c r="BT60" i="3"/>
  <c r="BC60" i="3"/>
  <c r="BB60" i="3"/>
  <c r="AW60" i="3"/>
  <c r="AV60" i="3"/>
  <c r="AQ60" i="3"/>
  <c r="AP60" i="3"/>
  <c r="AE60" i="3"/>
  <c r="AD60" i="3"/>
  <c r="Y60" i="3"/>
  <c r="X60" i="3"/>
  <c r="S60" i="3"/>
  <c r="R60" i="3"/>
  <c r="CY59" i="3"/>
  <c r="CX59" i="3"/>
  <c r="CS59" i="3"/>
  <c r="CR59" i="3"/>
  <c r="CM59" i="3"/>
  <c r="CL59" i="3"/>
  <c r="CG59" i="3"/>
  <c r="CF59" i="3"/>
  <c r="CA59" i="3"/>
  <c r="BZ59" i="3"/>
  <c r="BU59" i="3"/>
  <c r="BT59" i="3"/>
  <c r="BC59" i="3"/>
  <c r="BB59" i="3"/>
  <c r="AW59" i="3"/>
  <c r="AV59" i="3"/>
  <c r="AQ59" i="3"/>
  <c r="AP59" i="3"/>
  <c r="AE59" i="3"/>
  <c r="AD59" i="3"/>
  <c r="Y59" i="3"/>
  <c r="X59" i="3"/>
  <c r="S59" i="3"/>
  <c r="R59" i="3"/>
  <c r="CY57" i="3"/>
  <c r="CX57" i="3"/>
  <c r="CS57" i="3"/>
  <c r="CR57" i="3"/>
  <c r="CM57" i="3"/>
  <c r="CL57" i="3"/>
  <c r="CG57" i="3"/>
  <c r="CF57" i="3"/>
  <c r="CA57" i="3"/>
  <c r="BZ57" i="3"/>
  <c r="BU57" i="3"/>
  <c r="BT57" i="3"/>
  <c r="BC57" i="3"/>
  <c r="BB57" i="3"/>
  <c r="AW57" i="3"/>
  <c r="AV57" i="3"/>
  <c r="AQ57" i="3"/>
  <c r="AP57" i="3"/>
  <c r="AE57" i="3"/>
  <c r="AD57" i="3"/>
  <c r="Y57" i="3"/>
  <c r="X57" i="3"/>
  <c r="S57" i="3"/>
  <c r="R57" i="3"/>
  <c r="CY56" i="3"/>
  <c r="CX56" i="3"/>
  <c r="CS56" i="3"/>
  <c r="CR56" i="3"/>
  <c r="CM56" i="3"/>
  <c r="CL56" i="3"/>
  <c r="CG56" i="3"/>
  <c r="CF56" i="3"/>
  <c r="CA56" i="3"/>
  <c r="BZ56" i="3"/>
  <c r="BU56" i="3"/>
  <c r="BT56" i="3"/>
  <c r="BC56" i="3"/>
  <c r="BB56" i="3"/>
  <c r="AW56" i="3"/>
  <c r="AV56" i="3"/>
  <c r="AQ56" i="3"/>
  <c r="AP56" i="3"/>
  <c r="AE56" i="3"/>
  <c r="AD56" i="3"/>
  <c r="Y56" i="3"/>
  <c r="X56" i="3"/>
  <c r="S56" i="3"/>
  <c r="R56" i="3"/>
  <c r="CY55" i="3"/>
  <c r="CX55" i="3"/>
  <c r="CS55" i="3"/>
  <c r="CR55" i="3"/>
  <c r="CM55" i="3"/>
  <c r="CL55" i="3"/>
  <c r="CG55" i="3"/>
  <c r="CF55" i="3"/>
  <c r="CA55" i="3"/>
  <c r="BZ55" i="3"/>
  <c r="BU55" i="3"/>
  <c r="BT55" i="3"/>
  <c r="BC55" i="3"/>
  <c r="BB55" i="3"/>
  <c r="AW55" i="3"/>
  <c r="AV55" i="3"/>
  <c r="AQ55" i="3"/>
  <c r="AP55" i="3"/>
  <c r="AE55" i="3"/>
  <c r="AD55" i="3"/>
  <c r="Y55" i="3"/>
  <c r="X55" i="3"/>
  <c r="S55" i="3"/>
  <c r="R55" i="3"/>
  <c r="CY54" i="3"/>
  <c r="CX54" i="3"/>
  <c r="CS54" i="3"/>
  <c r="CR54" i="3"/>
  <c r="CM54" i="3"/>
  <c r="CL54" i="3"/>
  <c r="CG54" i="3"/>
  <c r="CF54" i="3"/>
  <c r="CA54" i="3"/>
  <c r="BZ54" i="3"/>
  <c r="BU54" i="3"/>
  <c r="BT54" i="3"/>
  <c r="BC54" i="3"/>
  <c r="BB54" i="3"/>
  <c r="AW54" i="3"/>
  <c r="AV54" i="3"/>
  <c r="AQ54" i="3"/>
  <c r="AP54" i="3"/>
  <c r="AE54" i="3"/>
  <c r="AD54" i="3"/>
  <c r="Y54" i="3"/>
  <c r="X54" i="3"/>
  <c r="S54" i="3"/>
  <c r="R54" i="3"/>
  <c r="CY52" i="3"/>
  <c r="CX52" i="3"/>
  <c r="CS52" i="3"/>
  <c r="CR52" i="3"/>
  <c r="CM52" i="3"/>
  <c r="CL52" i="3"/>
  <c r="CG52" i="3"/>
  <c r="CF52" i="3"/>
  <c r="CA52" i="3"/>
  <c r="BZ52" i="3"/>
  <c r="BU52" i="3"/>
  <c r="BT52" i="3"/>
  <c r="BC52" i="3"/>
  <c r="BB52" i="3"/>
  <c r="AW52" i="3"/>
  <c r="AV52" i="3"/>
  <c r="AQ52" i="3"/>
  <c r="AP52" i="3"/>
  <c r="AE52" i="3"/>
  <c r="AD52" i="3"/>
  <c r="Y52" i="3"/>
  <c r="X52" i="3"/>
  <c r="S52" i="3"/>
  <c r="R52" i="3"/>
  <c r="CY51" i="3"/>
  <c r="CX51" i="3"/>
  <c r="CS51" i="3"/>
  <c r="CR51" i="3"/>
  <c r="CM51" i="3"/>
  <c r="CL51" i="3"/>
  <c r="CG51" i="3"/>
  <c r="CF51" i="3"/>
  <c r="CA51" i="3"/>
  <c r="BZ51" i="3"/>
  <c r="BU51" i="3"/>
  <c r="BT51" i="3"/>
  <c r="BC51" i="3"/>
  <c r="BB51" i="3"/>
  <c r="AW51" i="3"/>
  <c r="AV51" i="3"/>
  <c r="AQ51" i="3"/>
  <c r="AP51" i="3"/>
  <c r="AE51" i="3"/>
  <c r="AD51" i="3"/>
  <c r="Y51" i="3"/>
  <c r="X51" i="3"/>
  <c r="S51" i="3"/>
  <c r="R51" i="3"/>
  <c r="CY50" i="3"/>
  <c r="CX50" i="3"/>
  <c r="CS50" i="3"/>
  <c r="CR50" i="3"/>
  <c r="CM50" i="3"/>
  <c r="CL50" i="3"/>
  <c r="CG50" i="3"/>
  <c r="CF50" i="3"/>
  <c r="CA50" i="3"/>
  <c r="BZ50" i="3"/>
  <c r="BU50" i="3"/>
  <c r="BT50" i="3"/>
  <c r="BC50" i="3"/>
  <c r="BB50" i="3"/>
  <c r="AW50" i="3"/>
  <c r="AV50" i="3"/>
  <c r="AQ50" i="3"/>
  <c r="AP50" i="3"/>
  <c r="AE50" i="3"/>
  <c r="AD50" i="3"/>
  <c r="Y50" i="3"/>
  <c r="X50" i="3"/>
  <c r="S50" i="3"/>
  <c r="R50" i="3"/>
  <c r="CY49" i="3"/>
  <c r="CX49" i="3"/>
  <c r="CS49" i="3"/>
  <c r="CR49" i="3"/>
  <c r="CM49" i="3"/>
  <c r="CL49" i="3"/>
  <c r="CG49" i="3"/>
  <c r="CF49" i="3"/>
  <c r="CA49" i="3"/>
  <c r="BZ49" i="3"/>
  <c r="BU49" i="3"/>
  <c r="BT49" i="3"/>
  <c r="BC49" i="3"/>
  <c r="BB49" i="3"/>
  <c r="AW49" i="3"/>
  <c r="AV49" i="3"/>
  <c r="AQ49" i="3"/>
  <c r="AP49" i="3"/>
  <c r="AE49" i="3"/>
  <c r="AD49" i="3"/>
  <c r="Y49" i="3"/>
  <c r="X49" i="3"/>
  <c r="S49" i="3"/>
  <c r="R49" i="3"/>
  <c r="CY47" i="3"/>
  <c r="CV47" i="3"/>
  <c r="CU47" i="3"/>
  <c r="CS47" i="3"/>
  <c r="CP47" i="3"/>
  <c r="CO47" i="3"/>
  <c r="CM47" i="3"/>
  <c r="CJ47" i="3"/>
  <c r="CI47" i="3"/>
  <c r="CG47" i="3"/>
  <c r="CD47" i="3"/>
  <c r="CC47" i="3"/>
  <c r="CA47" i="3"/>
  <c r="BX47" i="3"/>
  <c r="BW47" i="3"/>
  <c r="BU47" i="3"/>
  <c r="BR47" i="3"/>
  <c r="BQ47" i="3"/>
  <c r="BC47" i="3"/>
  <c r="AZ47" i="3"/>
  <c r="AY47" i="3"/>
  <c r="AW47" i="3"/>
  <c r="AT47" i="3"/>
  <c r="AS47" i="3"/>
  <c r="AQ47" i="3"/>
  <c r="AN47" i="3"/>
  <c r="AM47" i="3"/>
  <c r="AE47" i="3"/>
  <c r="AB47" i="3"/>
  <c r="AA47" i="3"/>
  <c r="Y47" i="3"/>
  <c r="V47" i="3"/>
  <c r="U47" i="3"/>
  <c r="S47" i="3"/>
  <c r="P47" i="3"/>
  <c r="O47" i="3"/>
  <c r="CY46" i="3"/>
  <c r="CV46" i="3"/>
  <c r="CU46" i="3"/>
  <c r="CS46" i="3"/>
  <c r="CP46" i="3"/>
  <c r="CO46" i="3"/>
  <c r="CM46" i="3"/>
  <c r="CJ46" i="3"/>
  <c r="CI46" i="3"/>
  <c r="CG46" i="3"/>
  <c r="CD46" i="3"/>
  <c r="CC46" i="3"/>
  <c r="CA46" i="3"/>
  <c r="BX46" i="3"/>
  <c r="BW46" i="3"/>
  <c r="BU46" i="3"/>
  <c r="BR46" i="3"/>
  <c r="BQ46" i="3"/>
  <c r="BC46" i="3"/>
  <c r="AZ46" i="3"/>
  <c r="AY46" i="3"/>
  <c r="AW46" i="3"/>
  <c r="AT46" i="3"/>
  <c r="AS46" i="3"/>
  <c r="AQ46" i="3"/>
  <c r="AN46" i="3"/>
  <c r="AM46" i="3"/>
  <c r="AE46" i="3"/>
  <c r="AB46" i="3"/>
  <c r="AA46" i="3"/>
  <c r="Y46" i="3"/>
  <c r="V46" i="3"/>
  <c r="U46" i="3"/>
  <c r="S46" i="3"/>
  <c r="P46" i="3"/>
  <c r="O46" i="3"/>
  <c r="CY45" i="3"/>
  <c r="CV45" i="3"/>
  <c r="CU45" i="3"/>
  <c r="CS45" i="3"/>
  <c r="CP45" i="3"/>
  <c r="CO45" i="3"/>
  <c r="CM45" i="3"/>
  <c r="CJ45" i="3"/>
  <c r="CI45" i="3"/>
  <c r="CG45" i="3"/>
  <c r="CD45" i="3"/>
  <c r="CC45" i="3"/>
  <c r="CA45" i="3"/>
  <c r="BX45" i="3"/>
  <c r="BW45" i="3"/>
  <c r="BU45" i="3"/>
  <c r="BR45" i="3"/>
  <c r="BQ45" i="3"/>
  <c r="BC45" i="3"/>
  <c r="AZ45" i="3"/>
  <c r="AY45" i="3"/>
  <c r="AW45" i="3"/>
  <c r="AT45" i="3"/>
  <c r="AS45" i="3"/>
  <c r="AQ45" i="3"/>
  <c r="AN45" i="3"/>
  <c r="AM45" i="3"/>
  <c r="AE45" i="3"/>
  <c r="AB45" i="3"/>
  <c r="AA45" i="3"/>
  <c r="Y45" i="3"/>
  <c r="V45" i="3"/>
  <c r="U45" i="3"/>
  <c r="S45" i="3"/>
  <c r="P45" i="3"/>
  <c r="O45" i="3"/>
  <c r="CY44" i="3"/>
  <c r="CV44" i="3"/>
  <c r="CU44" i="3"/>
  <c r="CS44" i="3"/>
  <c r="CP44" i="3"/>
  <c r="CO44" i="3"/>
  <c r="CM44" i="3"/>
  <c r="CJ44" i="3"/>
  <c r="CI44" i="3"/>
  <c r="CG44" i="3"/>
  <c r="CD44" i="3"/>
  <c r="CC44" i="3"/>
  <c r="CA44" i="3"/>
  <c r="BX44" i="3"/>
  <c r="BW44" i="3"/>
  <c r="BU44" i="3"/>
  <c r="BR44" i="3"/>
  <c r="BQ44" i="3"/>
  <c r="BC44" i="3"/>
  <c r="AZ44" i="3"/>
  <c r="AY44" i="3"/>
  <c r="AW44" i="3"/>
  <c r="AT44" i="3"/>
  <c r="AS44" i="3"/>
  <c r="AQ44" i="3"/>
  <c r="AN44" i="3"/>
  <c r="AM44" i="3"/>
  <c r="AE44" i="3"/>
  <c r="AB44" i="3"/>
  <c r="AA44" i="3"/>
  <c r="Y44" i="3"/>
  <c r="V44" i="3"/>
  <c r="U44" i="3"/>
  <c r="S44" i="3"/>
  <c r="P44" i="3"/>
  <c r="O44" i="3"/>
  <c r="CY67" i="3"/>
  <c r="CX67" i="3"/>
  <c r="CS67" i="3"/>
  <c r="CR67" i="3"/>
  <c r="CM67" i="3"/>
  <c r="CL67" i="3"/>
  <c r="CG67" i="3"/>
  <c r="CF67" i="3"/>
  <c r="CA67" i="3"/>
  <c r="BZ67" i="3"/>
  <c r="BU67" i="3"/>
  <c r="BT67" i="3"/>
  <c r="BC67" i="3"/>
  <c r="BB67" i="3"/>
  <c r="AW67" i="3"/>
  <c r="AV67" i="3"/>
  <c r="AQ67" i="3"/>
  <c r="AP67" i="3"/>
  <c r="AE67" i="3"/>
  <c r="AD67" i="3"/>
  <c r="Y67" i="3"/>
  <c r="X67" i="3"/>
  <c r="S67" i="3"/>
  <c r="R67" i="3"/>
  <c r="CY66" i="3"/>
  <c r="CX66" i="3"/>
  <c r="CS66" i="3"/>
  <c r="CR66" i="3"/>
  <c r="CM66" i="3"/>
  <c r="CL66" i="3"/>
  <c r="CG66" i="3"/>
  <c r="CF66" i="3"/>
  <c r="CA66" i="3"/>
  <c r="BZ66" i="3"/>
  <c r="BU66" i="3"/>
  <c r="BT66" i="3"/>
  <c r="BC66" i="3"/>
  <c r="BB66" i="3"/>
  <c r="AW66" i="3"/>
  <c r="AV66" i="3"/>
  <c r="AQ66" i="3"/>
  <c r="AP66" i="3"/>
  <c r="AE66" i="3"/>
  <c r="AD66" i="3"/>
  <c r="Y66" i="3"/>
  <c r="X66" i="3"/>
  <c r="S66" i="3"/>
  <c r="R66" i="3"/>
  <c r="CY65" i="3"/>
  <c r="CX65" i="3"/>
  <c r="CS65" i="3"/>
  <c r="CR65" i="3"/>
  <c r="CM65" i="3"/>
  <c r="CL65" i="3"/>
  <c r="CG65" i="3"/>
  <c r="CF65" i="3"/>
  <c r="CA65" i="3"/>
  <c r="BZ65" i="3"/>
  <c r="BU65" i="3"/>
  <c r="BT65" i="3"/>
  <c r="BC65" i="3"/>
  <c r="BB65" i="3"/>
  <c r="AW65" i="3"/>
  <c r="AV65" i="3"/>
  <c r="AQ65" i="3"/>
  <c r="AP65" i="3"/>
  <c r="AE65" i="3"/>
  <c r="AD65" i="3"/>
  <c r="Y65" i="3"/>
  <c r="X65" i="3"/>
  <c r="S65" i="3"/>
  <c r="R65" i="3"/>
  <c r="CY64" i="3"/>
  <c r="CX64" i="3"/>
  <c r="CS64" i="3"/>
  <c r="CR64" i="3"/>
  <c r="CM64" i="3"/>
  <c r="CL64" i="3"/>
  <c r="CG64" i="3"/>
  <c r="CF64" i="3"/>
  <c r="CA64" i="3"/>
  <c r="BZ64" i="3"/>
  <c r="BU64" i="3"/>
  <c r="BT64" i="3"/>
  <c r="BC64" i="3"/>
  <c r="BB64" i="3"/>
  <c r="AW64" i="3"/>
  <c r="AV64" i="3"/>
  <c r="AQ64" i="3"/>
  <c r="AP64" i="3"/>
  <c r="AE64" i="3"/>
  <c r="AD64" i="3"/>
  <c r="Y64" i="3"/>
  <c r="X64" i="3"/>
  <c r="S64" i="3"/>
  <c r="R64" i="3"/>
  <c r="CY34" i="3"/>
  <c r="CX34" i="3"/>
  <c r="CS34" i="3"/>
  <c r="CR34" i="3"/>
  <c r="CM34" i="3"/>
  <c r="CL34" i="3"/>
  <c r="CG34" i="3"/>
  <c r="CF34" i="3"/>
  <c r="CA34" i="3"/>
  <c r="BZ34" i="3"/>
  <c r="BU34" i="3"/>
  <c r="BT34" i="3"/>
  <c r="BC34" i="3"/>
  <c r="BB34" i="3"/>
  <c r="AW34" i="3"/>
  <c r="AV34" i="3"/>
  <c r="AQ34" i="3"/>
  <c r="AP34" i="3"/>
  <c r="AE34" i="3"/>
  <c r="AD34" i="3"/>
  <c r="Y34" i="3"/>
  <c r="X34" i="3"/>
  <c r="S34" i="3"/>
  <c r="R34" i="3"/>
  <c r="CY33" i="3"/>
  <c r="CX33" i="3"/>
  <c r="CS33" i="3"/>
  <c r="CR33" i="3"/>
  <c r="CM33" i="3"/>
  <c r="CL33" i="3"/>
  <c r="CG33" i="3"/>
  <c r="CF33" i="3"/>
  <c r="CA33" i="3"/>
  <c r="BZ33" i="3"/>
  <c r="BU33" i="3"/>
  <c r="BT33" i="3"/>
  <c r="BC33" i="3"/>
  <c r="BB33" i="3"/>
  <c r="AW33" i="3"/>
  <c r="AV33" i="3"/>
  <c r="AQ33" i="3"/>
  <c r="AP33" i="3"/>
  <c r="AE33" i="3"/>
  <c r="AD33" i="3"/>
  <c r="Y33" i="3"/>
  <c r="X33" i="3"/>
  <c r="S33" i="3"/>
  <c r="R33" i="3"/>
  <c r="CY32" i="3"/>
  <c r="CX32" i="3"/>
  <c r="CS32" i="3"/>
  <c r="CR32" i="3"/>
  <c r="CM32" i="3"/>
  <c r="CL32" i="3"/>
  <c r="CG32" i="3"/>
  <c r="CF32" i="3"/>
  <c r="CA32" i="3"/>
  <c r="BZ32" i="3"/>
  <c r="BU32" i="3"/>
  <c r="BT32" i="3"/>
  <c r="BC32" i="3"/>
  <c r="BB32" i="3"/>
  <c r="AW32" i="3"/>
  <c r="AV32" i="3"/>
  <c r="AQ32" i="3"/>
  <c r="AP32" i="3"/>
  <c r="AE32" i="3"/>
  <c r="AD32" i="3"/>
  <c r="Y32" i="3"/>
  <c r="X32" i="3"/>
  <c r="S32" i="3"/>
  <c r="R32" i="3"/>
  <c r="CY31" i="3"/>
  <c r="CX31" i="3"/>
  <c r="CS31" i="3"/>
  <c r="CR31" i="3"/>
  <c r="CM31" i="3"/>
  <c r="CL31" i="3"/>
  <c r="CG31" i="3"/>
  <c r="CF31" i="3"/>
  <c r="CA31" i="3"/>
  <c r="BZ31" i="3"/>
  <c r="BU31" i="3"/>
  <c r="BT31" i="3"/>
  <c r="BC31" i="3"/>
  <c r="BB31" i="3"/>
  <c r="AW31" i="3"/>
  <c r="AV31" i="3"/>
  <c r="AQ31" i="3"/>
  <c r="AP31" i="3"/>
  <c r="AE31" i="3"/>
  <c r="AD31" i="3"/>
  <c r="Y31" i="3"/>
  <c r="X31" i="3"/>
  <c r="S31" i="3"/>
  <c r="R31" i="3"/>
  <c r="CY29" i="3"/>
  <c r="CX29" i="3"/>
  <c r="CS29" i="3"/>
  <c r="CR29" i="3"/>
  <c r="CM29" i="3"/>
  <c r="CL29" i="3"/>
  <c r="CG29" i="3"/>
  <c r="CF29" i="3"/>
  <c r="CA29" i="3"/>
  <c r="BZ29" i="3"/>
  <c r="BU29" i="3"/>
  <c r="BT29" i="3"/>
  <c r="BC29" i="3"/>
  <c r="BB29" i="3"/>
  <c r="AW29" i="3"/>
  <c r="AV29" i="3"/>
  <c r="AQ29" i="3"/>
  <c r="AP29" i="3"/>
  <c r="AE29" i="3"/>
  <c r="AD29" i="3"/>
  <c r="Y29" i="3"/>
  <c r="X29" i="3"/>
  <c r="S29" i="3"/>
  <c r="R29" i="3"/>
  <c r="CY28" i="3"/>
  <c r="CX28" i="3"/>
  <c r="CS28" i="3"/>
  <c r="CR28" i="3"/>
  <c r="CM28" i="3"/>
  <c r="CL28" i="3"/>
  <c r="CG28" i="3"/>
  <c r="CF28" i="3"/>
  <c r="CA28" i="3"/>
  <c r="BZ28" i="3"/>
  <c r="BU28" i="3"/>
  <c r="BT28" i="3"/>
  <c r="BC28" i="3"/>
  <c r="BB28" i="3"/>
  <c r="AW28" i="3"/>
  <c r="AV28" i="3"/>
  <c r="AQ28" i="3"/>
  <c r="AP28" i="3"/>
  <c r="AE28" i="3"/>
  <c r="AD28" i="3"/>
  <c r="Y28" i="3"/>
  <c r="X28" i="3"/>
  <c r="S28" i="3"/>
  <c r="R28" i="3"/>
  <c r="CY27" i="3"/>
  <c r="CX27" i="3"/>
  <c r="CS27" i="3"/>
  <c r="CR27" i="3"/>
  <c r="CM27" i="3"/>
  <c r="CL27" i="3"/>
  <c r="CG27" i="3"/>
  <c r="CF27" i="3"/>
  <c r="CA27" i="3"/>
  <c r="BZ27" i="3"/>
  <c r="BU27" i="3"/>
  <c r="BT27" i="3"/>
  <c r="BC27" i="3"/>
  <c r="BB27" i="3"/>
  <c r="AW27" i="3"/>
  <c r="AV27" i="3"/>
  <c r="AQ27" i="3"/>
  <c r="AP27" i="3"/>
  <c r="AE27" i="3"/>
  <c r="AD27" i="3"/>
  <c r="Y27" i="3"/>
  <c r="X27" i="3"/>
  <c r="S27" i="3"/>
  <c r="R27" i="3"/>
  <c r="CY26" i="3"/>
  <c r="CX26" i="3"/>
  <c r="CS26" i="3"/>
  <c r="CR26" i="3"/>
  <c r="CM26" i="3"/>
  <c r="CL26" i="3"/>
  <c r="CG26" i="3"/>
  <c r="CF26" i="3"/>
  <c r="CA26" i="3"/>
  <c r="BZ26" i="3"/>
  <c r="BU26" i="3"/>
  <c r="BT26" i="3"/>
  <c r="BC26" i="3"/>
  <c r="BB26" i="3"/>
  <c r="AW26" i="3"/>
  <c r="AV26" i="3"/>
  <c r="AQ26" i="3"/>
  <c r="AP26" i="3"/>
  <c r="AE26" i="3"/>
  <c r="AD26" i="3"/>
  <c r="Y26" i="3"/>
  <c r="X26" i="3"/>
  <c r="S26" i="3"/>
  <c r="R26" i="3"/>
  <c r="CY24" i="3"/>
  <c r="CX24" i="3"/>
  <c r="CS24" i="3"/>
  <c r="CR24" i="3"/>
  <c r="CM24" i="3"/>
  <c r="CL24" i="3"/>
  <c r="CG24" i="3"/>
  <c r="CF24" i="3"/>
  <c r="CA24" i="3"/>
  <c r="BZ24" i="3"/>
  <c r="BU24" i="3"/>
  <c r="BT24" i="3"/>
  <c r="BC24" i="3"/>
  <c r="BB24" i="3"/>
  <c r="AW24" i="3"/>
  <c r="AV24" i="3"/>
  <c r="AQ24" i="3"/>
  <c r="AP24" i="3"/>
  <c r="AE24" i="3"/>
  <c r="AD24" i="3"/>
  <c r="Y24" i="3"/>
  <c r="X24" i="3"/>
  <c r="S24" i="3"/>
  <c r="R24" i="3"/>
  <c r="CY23" i="3"/>
  <c r="CX23" i="3"/>
  <c r="CS23" i="3"/>
  <c r="CR23" i="3"/>
  <c r="CM23" i="3"/>
  <c r="CL23" i="3"/>
  <c r="CG23" i="3"/>
  <c r="CF23" i="3"/>
  <c r="CA23" i="3"/>
  <c r="BZ23" i="3"/>
  <c r="BU23" i="3"/>
  <c r="BT23" i="3"/>
  <c r="BC23" i="3"/>
  <c r="BB23" i="3"/>
  <c r="AW23" i="3"/>
  <c r="AV23" i="3"/>
  <c r="AQ23" i="3"/>
  <c r="AP23" i="3"/>
  <c r="AE23" i="3"/>
  <c r="AD23" i="3"/>
  <c r="Y23" i="3"/>
  <c r="X23" i="3"/>
  <c r="S23" i="3"/>
  <c r="R23" i="3"/>
  <c r="CY22" i="3"/>
  <c r="CX22" i="3"/>
  <c r="CS22" i="3"/>
  <c r="CR22" i="3"/>
  <c r="CM22" i="3"/>
  <c r="CL22" i="3"/>
  <c r="CG22" i="3"/>
  <c r="CF22" i="3"/>
  <c r="CA22" i="3"/>
  <c r="BZ22" i="3"/>
  <c r="BU22" i="3"/>
  <c r="BT22" i="3"/>
  <c r="BC22" i="3"/>
  <c r="BB22" i="3"/>
  <c r="AW22" i="3"/>
  <c r="AV22" i="3"/>
  <c r="AQ22" i="3"/>
  <c r="AP22" i="3"/>
  <c r="AE22" i="3"/>
  <c r="AD22" i="3"/>
  <c r="Y22" i="3"/>
  <c r="X22" i="3"/>
  <c r="S22" i="3"/>
  <c r="R22" i="3"/>
  <c r="CY21" i="3"/>
  <c r="CX21" i="3"/>
  <c r="CS21" i="3"/>
  <c r="CR21" i="3"/>
  <c r="CM21" i="3"/>
  <c r="CL21" i="3"/>
  <c r="CG21" i="3"/>
  <c r="CF21" i="3"/>
  <c r="CA21" i="3"/>
  <c r="BZ21" i="3"/>
  <c r="BU21" i="3"/>
  <c r="BT21" i="3"/>
  <c r="BC21" i="3"/>
  <c r="BB21" i="3"/>
  <c r="AW21" i="3"/>
  <c r="AV21" i="3"/>
  <c r="AQ21" i="3"/>
  <c r="AP21" i="3"/>
  <c r="AE21" i="3"/>
  <c r="AD21" i="3"/>
  <c r="Y21" i="3"/>
  <c r="X21" i="3"/>
  <c r="S21" i="3"/>
  <c r="R21" i="3"/>
  <c r="CY19" i="3"/>
  <c r="CX19" i="3"/>
  <c r="CS19" i="3"/>
  <c r="CR19" i="3"/>
  <c r="CM19" i="3"/>
  <c r="CL19" i="3"/>
  <c r="CG19" i="3"/>
  <c r="CF19" i="3"/>
  <c r="CA19" i="3"/>
  <c r="BZ19" i="3"/>
  <c r="BU19" i="3"/>
  <c r="BT19" i="3"/>
  <c r="BC19" i="3"/>
  <c r="BB19" i="3"/>
  <c r="AW19" i="3"/>
  <c r="AV19" i="3"/>
  <c r="AQ19" i="3"/>
  <c r="AP19" i="3"/>
  <c r="AE19" i="3"/>
  <c r="AD19" i="3"/>
  <c r="Y19" i="3"/>
  <c r="X19" i="3"/>
  <c r="S19" i="3"/>
  <c r="R19" i="3"/>
  <c r="CY18" i="3"/>
  <c r="CX18" i="3"/>
  <c r="CS18" i="3"/>
  <c r="CR18" i="3"/>
  <c r="CM18" i="3"/>
  <c r="CL18" i="3"/>
  <c r="CG18" i="3"/>
  <c r="CF18" i="3"/>
  <c r="CA18" i="3"/>
  <c r="BZ18" i="3"/>
  <c r="BU18" i="3"/>
  <c r="BT18" i="3"/>
  <c r="BC18" i="3"/>
  <c r="BB18" i="3"/>
  <c r="AW18" i="3"/>
  <c r="AV18" i="3"/>
  <c r="AQ18" i="3"/>
  <c r="AP18" i="3"/>
  <c r="AE18" i="3"/>
  <c r="AD18" i="3"/>
  <c r="Y18" i="3"/>
  <c r="X18" i="3"/>
  <c r="S18" i="3"/>
  <c r="R18" i="3"/>
  <c r="CY17" i="3"/>
  <c r="CX17" i="3"/>
  <c r="CS17" i="3"/>
  <c r="CR17" i="3"/>
  <c r="CM17" i="3"/>
  <c r="CL17" i="3"/>
  <c r="CG17" i="3"/>
  <c r="CF17" i="3"/>
  <c r="CA17" i="3"/>
  <c r="BZ17" i="3"/>
  <c r="BU17" i="3"/>
  <c r="BT17" i="3"/>
  <c r="BC17" i="3"/>
  <c r="BB17" i="3"/>
  <c r="AW17" i="3"/>
  <c r="AV17" i="3"/>
  <c r="AQ17" i="3"/>
  <c r="AP17" i="3"/>
  <c r="AE17" i="3"/>
  <c r="AD17" i="3"/>
  <c r="Y17" i="3"/>
  <c r="X17" i="3"/>
  <c r="S17" i="3"/>
  <c r="R17" i="3"/>
  <c r="CY16" i="3"/>
  <c r="CX16" i="3"/>
  <c r="CS16" i="3"/>
  <c r="CR16" i="3"/>
  <c r="CM16" i="3"/>
  <c r="CL16" i="3"/>
  <c r="CG16" i="3"/>
  <c r="CF16" i="3"/>
  <c r="CA16" i="3"/>
  <c r="BZ16" i="3"/>
  <c r="BU16" i="3"/>
  <c r="BT16" i="3"/>
  <c r="BC16" i="3"/>
  <c r="BB16" i="3"/>
  <c r="AW16" i="3"/>
  <c r="AV16" i="3"/>
  <c r="AQ16" i="3"/>
  <c r="AP16" i="3"/>
  <c r="AE16" i="3"/>
  <c r="AD16" i="3"/>
  <c r="Y16" i="3"/>
  <c r="X16" i="3"/>
  <c r="S16" i="3"/>
  <c r="R16" i="3"/>
  <c r="CY14" i="3"/>
  <c r="CV14" i="3"/>
  <c r="CU14" i="3"/>
  <c r="CS14" i="3"/>
  <c r="CP14" i="3"/>
  <c r="CO14" i="3"/>
  <c r="CM14" i="3"/>
  <c r="CJ14" i="3"/>
  <c r="CI14" i="3"/>
  <c r="CG14" i="3"/>
  <c r="CD14" i="3"/>
  <c r="CC14" i="3"/>
  <c r="CA14" i="3"/>
  <c r="BX14" i="3"/>
  <c r="BW14" i="3"/>
  <c r="BU14" i="3"/>
  <c r="BR14" i="3"/>
  <c r="BQ14" i="3"/>
  <c r="BC14" i="3"/>
  <c r="AZ14" i="3"/>
  <c r="AY14" i="3"/>
  <c r="AW14" i="3"/>
  <c r="AT14" i="3"/>
  <c r="AS14" i="3"/>
  <c r="AQ14" i="3"/>
  <c r="AN14" i="3"/>
  <c r="AM14" i="3"/>
  <c r="AE14" i="3"/>
  <c r="AB14" i="3"/>
  <c r="AA14" i="3"/>
  <c r="Y14" i="3"/>
  <c r="V14" i="3"/>
  <c r="U14" i="3"/>
  <c r="S14" i="3"/>
  <c r="P14" i="3"/>
  <c r="O14" i="3"/>
  <c r="CY13" i="3"/>
  <c r="CV13" i="3"/>
  <c r="CU13" i="3"/>
  <c r="CS13" i="3"/>
  <c r="CP13" i="3"/>
  <c r="CO13" i="3"/>
  <c r="CM13" i="3"/>
  <c r="CJ13" i="3"/>
  <c r="CI13" i="3"/>
  <c r="CG13" i="3"/>
  <c r="CD13" i="3"/>
  <c r="CC13" i="3"/>
  <c r="CA13" i="3"/>
  <c r="BX13" i="3"/>
  <c r="BW13" i="3"/>
  <c r="BU13" i="3"/>
  <c r="BR13" i="3"/>
  <c r="BQ13" i="3"/>
  <c r="BC13" i="3"/>
  <c r="AZ13" i="3"/>
  <c r="AY13" i="3"/>
  <c r="AW13" i="3"/>
  <c r="AT13" i="3"/>
  <c r="AS13" i="3"/>
  <c r="AQ13" i="3"/>
  <c r="AN13" i="3"/>
  <c r="AM13" i="3"/>
  <c r="AE13" i="3"/>
  <c r="AB13" i="3"/>
  <c r="AA13" i="3"/>
  <c r="Y13" i="3"/>
  <c r="V13" i="3"/>
  <c r="U13" i="3"/>
  <c r="S13" i="3"/>
  <c r="P13" i="3"/>
  <c r="O13" i="3"/>
  <c r="CY12" i="3"/>
  <c r="CV12" i="3"/>
  <c r="CU12" i="3"/>
  <c r="CS12" i="3"/>
  <c r="CP12" i="3"/>
  <c r="CO12" i="3"/>
  <c r="CM12" i="3"/>
  <c r="CJ12" i="3"/>
  <c r="CI12" i="3"/>
  <c r="CG12" i="3"/>
  <c r="CD12" i="3"/>
  <c r="CC12" i="3"/>
  <c r="CA12" i="3"/>
  <c r="BX12" i="3"/>
  <c r="BW12" i="3"/>
  <c r="BU12" i="3"/>
  <c r="BR12" i="3"/>
  <c r="BQ12" i="3"/>
  <c r="BC12" i="3"/>
  <c r="AZ12" i="3"/>
  <c r="AY12" i="3"/>
  <c r="AW12" i="3"/>
  <c r="AT12" i="3"/>
  <c r="AS12" i="3"/>
  <c r="AQ12" i="3"/>
  <c r="AN12" i="3"/>
  <c r="AM12" i="3"/>
  <c r="AE12" i="3"/>
  <c r="AB12" i="3"/>
  <c r="AA12" i="3"/>
  <c r="Y12" i="3"/>
  <c r="V12" i="3"/>
  <c r="U12" i="3"/>
  <c r="S12" i="3"/>
  <c r="P12" i="3"/>
  <c r="O12" i="3"/>
  <c r="CY11" i="3"/>
  <c r="CV11" i="3"/>
  <c r="CU11" i="3"/>
  <c r="CS11" i="3"/>
  <c r="CP11" i="3"/>
  <c r="CO11" i="3"/>
  <c r="CM11" i="3"/>
  <c r="CJ11" i="3"/>
  <c r="CI11" i="3"/>
  <c r="CG11" i="3"/>
  <c r="CD11" i="3"/>
  <c r="CC11" i="3"/>
  <c r="CA11" i="3"/>
  <c r="BX11" i="3"/>
  <c r="BW11" i="3"/>
  <c r="BU11" i="3"/>
  <c r="BR11" i="3"/>
  <c r="BQ11" i="3"/>
  <c r="BC11" i="3"/>
  <c r="AZ11" i="3"/>
  <c r="AY11" i="3"/>
  <c r="AW11" i="3"/>
  <c r="AT11" i="3"/>
  <c r="AS11" i="3"/>
  <c r="AQ11" i="3"/>
  <c r="AN11" i="3"/>
  <c r="AM11" i="3"/>
  <c r="AE11" i="3"/>
  <c r="AB11" i="3"/>
  <c r="AA11" i="3"/>
  <c r="Y11" i="3"/>
  <c r="V11" i="3"/>
  <c r="U11" i="3"/>
  <c r="S11" i="3"/>
  <c r="P11" i="3"/>
  <c r="O11" i="3"/>
  <c r="DU3" i="3"/>
  <c r="DO3" i="3"/>
  <c r="DI3" i="3"/>
  <c r="DC3" i="3"/>
  <c r="CU3" i="3"/>
  <c r="CO3" i="3"/>
  <c r="CI3" i="3"/>
  <c r="CC3" i="3"/>
  <c r="BW3" i="3"/>
  <c r="BQ3" i="3"/>
  <c r="BK3" i="3"/>
  <c r="BE3" i="3"/>
  <c r="AY3" i="3"/>
  <c r="AS3" i="3"/>
  <c r="AM3" i="3"/>
  <c r="AG3" i="3"/>
  <c r="AA3" i="3"/>
  <c r="U3" i="3"/>
  <c r="O3" i="3"/>
  <c r="I3" i="3"/>
  <c r="A24" i="1" l="1"/>
  <c r="A25" i="1" s="1"/>
  <c r="A70" i="1" l="1"/>
  <c r="A71" i="1" s="1"/>
  <c r="A72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6" i="1" s="1"/>
  <c r="A47" i="1" s="1"/>
  <c r="A48" i="1" s="1"/>
  <c r="A49" i="1" s="1"/>
  <c r="A50" i="1" s="1"/>
  <c r="A51" i="1" s="1"/>
  <c r="A52" i="1" s="1"/>
  <c r="A53" i="1" s="1"/>
  <c r="A56" i="1" s="1"/>
  <c r="A57" i="1" s="1"/>
  <c r="A58" i="1" s="1"/>
  <c r="A59" i="1" s="1"/>
  <c r="A60" i="1" s="1"/>
  <c r="A61" i="1" s="1"/>
  <c r="A63" i="1" s="1"/>
  <c r="A64" i="1" s="1"/>
  <c r="A66" i="1" s="1"/>
  <c r="A15" i="1"/>
  <c r="A16" i="1" s="1"/>
  <c r="CB67" i="3" l="1"/>
  <c r="DR67" i="3"/>
  <c r="Z67" i="3"/>
  <c r="N67" i="3"/>
  <c r="CT66" i="3"/>
  <c r="CN66" i="3"/>
  <c r="BV66" i="3"/>
  <c r="AL66" i="3"/>
  <c r="Z66" i="3"/>
  <c r="CT65" i="3"/>
  <c r="CN65" i="3"/>
  <c r="CB65" i="3"/>
  <c r="BV65" i="3"/>
  <c r="AL65" i="3"/>
  <c r="Z65" i="3"/>
  <c r="N65" i="3"/>
  <c r="CT64" i="3"/>
  <c r="CS63" i="3"/>
  <c r="CR63" i="3"/>
  <c r="CN63" i="3" s="1"/>
  <c r="CL63" i="3"/>
  <c r="CH63" i="3" s="1"/>
  <c r="CG63" i="3"/>
  <c r="BV64" i="3"/>
  <c r="BT63" i="3"/>
  <c r="AW63" i="3"/>
  <c r="AL64" i="3"/>
  <c r="AE63" i="3"/>
  <c r="Z64" i="3"/>
  <c r="CT62" i="3"/>
  <c r="CN62" i="3"/>
  <c r="CB62" i="3"/>
  <c r="BV62" i="3"/>
  <c r="AL62" i="3"/>
  <c r="Z62" i="3"/>
  <c r="CT61" i="3"/>
  <c r="CN61" i="3"/>
  <c r="CH61" i="3"/>
  <c r="CB61" i="3"/>
  <c r="BP61" i="3"/>
  <c r="AX61" i="3"/>
  <c r="AL61" i="3"/>
  <c r="Z61" i="3"/>
  <c r="T61" i="3"/>
  <c r="N61" i="3"/>
  <c r="CT60" i="3"/>
  <c r="CN60" i="3"/>
  <c r="BV60" i="3"/>
  <c r="BP60" i="3"/>
  <c r="AX60" i="3"/>
  <c r="AL60" i="3"/>
  <c r="Z60" i="3"/>
  <c r="T60" i="3"/>
  <c r="CY58" i="3"/>
  <c r="CT59" i="3"/>
  <c r="CS58" i="3"/>
  <c r="CM58" i="3"/>
  <c r="CL58" i="3"/>
  <c r="CH58" i="3" s="1"/>
  <c r="CG58" i="3"/>
  <c r="CA58" i="3"/>
  <c r="BV59" i="3"/>
  <c r="BC58" i="3"/>
  <c r="BB58" i="3"/>
  <c r="AX58" i="3" s="1"/>
  <c r="AW58" i="3"/>
  <c r="AR59" i="3"/>
  <c r="AQ58" i="3"/>
  <c r="AE58" i="3"/>
  <c r="Z59" i="3"/>
  <c r="Y58" i="3"/>
  <c r="T59" i="3"/>
  <c r="S58" i="3"/>
  <c r="N59" i="3"/>
  <c r="CT57" i="3"/>
  <c r="CN57" i="3"/>
  <c r="CH57" i="3"/>
  <c r="BV57" i="3"/>
  <c r="AX57" i="3"/>
  <c r="Z57" i="3"/>
  <c r="T57" i="3"/>
  <c r="N57" i="3"/>
  <c r="CT56" i="3"/>
  <c r="CN56" i="3"/>
  <c r="CH56" i="3"/>
  <c r="BV56" i="3"/>
  <c r="AX56" i="3"/>
  <c r="AL56" i="3"/>
  <c r="Z56" i="3"/>
  <c r="T56" i="3"/>
  <c r="CN55" i="3"/>
  <c r="CH55" i="3"/>
  <c r="BV55" i="3"/>
  <c r="BP55" i="3"/>
  <c r="AX55" i="3"/>
  <c r="AL55" i="3"/>
  <c r="Z55" i="3"/>
  <c r="T55" i="3"/>
  <c r="CY53" i="3"/>
  <c r="CT54" i="3"/>
  <c r="CS53" i="3"/>
  <c r="CM53" i="3"/>
  <c r="CH54" i="3"/>
  <c r="CG53" i="3"/>
  <c r="CA53" i="3"/>
  <c r="BZ53" i="3"/>
  <c r="BV53" i="3" s="1"/>
  <c r="BU53" i="3"/>
  <c r="BC53" i="3"/>
  <c r="AX54" i="3"/>
  <c r="AW53" i="3"/>
  <c r="AL54" i="3"/>
  <c r="AE53" i="3"/>
  <c r="T54" i="3"/>
  <c r="CX42" i="3"/>
  <c r="CH52" i="3"/>
  <c r="CF42" i="3"/>
  <c r="BV52" i="3"/>
  <c r="BB42" i="3"/>
  <c r="AP42" i="3"/>
  <c r="X42" i="3"/>
  <c r="R42" i="3"/>
  <c r="CT51" i="3"/>
  <c r="CN51" i="3"/>
  <c r="CH51" i="3"/>
  <c r="BV51" i="3"/>
  <c r="BB41" i="3"/>
  <c r="AP41" i="3"/>
  <c r="Z51" i="3"/>
  <c r="T51" i="3"/>
  <c r="N51" i="3"/>
  <c r="CX40" i="3"/>
  <c r="CN50" i="3"/>
  <c r="CH50" i="3"/>
  <c r="BZ40" i="3"/>
  <c r="BB40" i="3"/>
  <c r="AR50" i="3"/>
  <c r="AP40" i="3"/>
  <c r="AD40" i="3"/>
  <c r="T50" i="3"/>
  <c r="CY48" i="3"/>
  <c r="CX48" i="3"/>
  <c r="CT48" i="3" s="1"/>
  <c r="CS48" i="3"/>
  <c r="CM48" i="3"/>
  <c r="CH49" i="3"/>
  <c r="CF39" i="3"/>
  <c r="BZ48" i="3"/>
  <c r="BV48" i="3" s="1"/>
  <c r="BU48" i="3"/>
  <c r="BT39" i="3"/>
  <c r="BB48" i="3"/>
  <c r="AX48" i="3" s="1"/>
  <c r="AQ48" i="3"/>
  <c r="AP39" i="3"/>
  <c r="AE48" i="3"/>
  <c r="Y48" i="3"/>
  <c r="S48" i="3"/>
  <c r="R39" i="3"/>
  <c r="CY42" i="3"/>
  <c r="CV42" i="3"/>
  <c r="CO42" i="3"/>
  <c r="CJ42" i="3"/>
  <c r="CA42" i="3"/>
  <c r="BX42" i="3"/>
  <c r="BV47" i="3"/>
  <c r="BP47" i="3"/>
  <c r="AQ42" i="3"/>
  <c r="AL47" i="3"/>
  <c r="Z47" i="3"/>
  <c r="N47" i="3"/>
  <c r="CY41" i="3"/>
  <c r="CV41" i="3"/>
  <c r="CU41" i="3"/>
  <c r="CN46" i="3"/>
  <c r="CD41" i="3"/>
  <c r="BX41" i="3"/>
  <c r="BW41" i="3"/>
  <c r="BP46" i="3"/>
  <c r="AT41" i="3"/>
  <c r="AR46" i="3"/>
  <c r="AQ41" i="3"/>
  <c r="AN41" i="3"/>
  <c r="AL46" i="3"/>
  <c r="AB41" i="3"/>
  <c r="Z46" i="3"/>
  <c r="P41" i="3"/>
  <c r="CY40" i="3"/>
  <c r="CU40" i="3"/>
  <c r="CN45" i="3"/>
  <c r="CD40" i="3"/>
  <c r="BW40" i="3"/>
  <c r="BP45" i="3"/>
  <c r="AT40" i="3"/>
  <c r="AN40" i="3"/>
  <c r="Z45" i="3"/>
  <c r="P40" i="3"/>
  <c r="CV43" i="3"/>
  <c r="CT44" i="3"/>
  <c r="CP43" i="3"/>
  <c r="CN44" i="3"/>
  <c r="CM43" i="3"/>
  <c r="CA39" i="3"/>
  <c r="BX43" i="3"/>
  <c r="BV44" i="3"/>
  <c r="BR43" i="3"/>
  <c r="BP44" i="3"/>
  <c r="BC43" i="3"/>
  <c r="AW43" i="3"/>
  <c r="AT39" i="3"/>
  <c r="AQ43" i="3"/>
  <c r="AN39" i="3"/>
  <c r="AM43" i="3"/>
  <c r="AB39" i="3"/>
  <c r="AA39" i="3"/>
  <c r="Y43" i="3"/>
  <c r="V43" i="3"/>
  <c r="P43" i="3"/>
  <c r="CT34" i="3"/>
  <c r="CN34" i="3"/>
  <c r="BV34" i="3"/>
  <c r="AX34" i="3"/>
  <c r="AL34" i="3"/>
  <c r="Z34" i="3"/>
  <c r="T34" i="3"/>
  <c r="CT33" i="3"/>
  <c r="CN33" i="3"/>
  <c r="CH33" i="3"/>
  <c r="BV33" i="3"/>
  <c r="AX33" i="3"/>
  <c r="AL33" i="3"/>
  <c r="Z33" i="3"/>
  <c r="T33" i="3"/>
  <c r="CT32" i="3"/>
  <c r="CN32" i="3"/>
  <c r="CH32" i="3"/>
  <c r="BV32" i="3"/>
  <c r="AX32" i="3"/>
  <c r="AL32" i="3"/>
  <c r="Z32" i="3"/>
  <c r="T32" i="3"/>
  <c r="CY30" i="3"/>
  <c r="CT31" i="3"/>
  <c r="CS30" i="3"/>
  <c r="CN31" i="3"/>
  <c r="CM30" i="3"/>
  <c r="CL30" i="3"/>
  <c r="CH30" i="3" s="1"/>
  <c r="CF30" i="3"/>
  <c r="CB30" i="3" s="1"/>
  <c r="CA30" i="3"/>
  <c r="BZ30" i="3"/>
  <c r="BV30" i="3" s="1"/>
  <c r="BU30" i="3"/>
  <c r="BT30" i="3"/>
  <c r="BP30" i="3" s="1"/>
  <c r="AX31" i="3"/>
  <c r="AW30" i="3"/>
  <c r="AE30" i="3"/>
  <c r="Y30" i="3"/>
  <c r="T31" i="3"/>
  <c r="CT29" i="3"/>
  <c r="CN29" i="3"/>
  <c r="CH29" i="3"/>
  <c r="CB29" i="3"/>
  <c r="Z29" i="3"/>
  <c r="T29" i="3"/>
  <c r="N29" i="3"/>
  <c r="CT28" i="3"/>
  <c r="CN28" i="3"/>
  <c r="CH28" i="3"/>
  <c r="BV28" i="3"/>
  <c r="BP28" i="3"/>
  <c r="AR28" i="3"/>
  <c r="Z28" i="3"/>
  <c r="T28" i="3"/>
  <c r="CT27" i="3"/>
  <c r="CN27" i="3"/>
  <c r="CH27" i="3"/>
  <c r="CB27" i="3"/>
  <c r="BV27" i="3"/>
  <c r="BP27" i="3"/>
  <c r="Z27" i="3"/>
  <c r="T27" i="3"/>
  <c r="N27" i="3"/>
  <c r="CY25" i="3"/>
  <c r="CS25" i="3"/>
  <c r="CM25" i="3"/>
  <c r="CL25" i="3"/>
  <c r="CH25" i="3" s="1"/>
  <c r="CA25" i="3"/>
  <c r="BV26" i="3"/>
  <c r="BU25" i="3"/>
  <c r="BC25" i="3"/>
  <c r="BB25" i="3"/>
  <c r="AQ25" i="3"/>
  <c r="AE25" i="3"/>
  <c r="Z26" i="3"/>
  <c r="Y25" i="3"/>
  <c r="S25" i="3"/>
  <c r="N26" i="3"/>
  <c r="CT24" i="3"/>
  <c r="CN24" i="3"/>
  <c r="BV24" i="3"/>
  <c r="BP24" i="3"/>
  <c r="AX24" i="3"/>
  <c r="AL24" i="3"/>
  <c r="Z24" i="3"/>
  <c r="T24" i="3"/>
  <c r="CT23" i="3"/>
  <c r="CN23" i="3"/>
  <c r="CH23" i="3"/>
  <c r="BV23" i="3"/>
  <c r="BP23" i="3"/>
  <c r="AX23" i="3"/>
  <c r="AL23" i="3"/>
  <c r="Z23" i="3"/>
  <c r="T23" i="3"/>
  <c r="N23" i="3"/>
  <c r="CT22" i="3"/>
  <c r="CN22" i="3"/>
  <c r="CH22" i="3"/>
  <c r="CB22" i="3"/>
  <c r="BV22" i="3"/>
  <c r="BP22" i="3"/>
  <c r="AX22" i="3"/>
  <c r="AL22" i="3"/>
  <c r="Z22" i="3"/>
  <c r="T22" i="3"/>
  <c r="CT21" i="3"/>
  <c r="CS20" i="3"/>
  <c r="CM20" i="3"/>
  <c r="CH21" i="3"/>
  <c r="CA20" i="3"/>
  <c r="BV21" i="3"/>
  <c r="BU20" i="3"/>
  <c r="BC20" i="3"/>
  <c r="AX21" i="3"/>
  <c r="AW20" i="3"/>
  <c r="AQ20" i="3"/>
  <c r="AL21" i="3"/>
  <c r="AE20" i="3"/>
  <c r="Y20" i="3"/>
  <c r="T21" i="3"/>
  <c r="N21" i="3"/>
  <c r="CX9" i="3"/>
  <c r="CR9" i="3"/>
  <c r="CH19" i="3"/>
  <c r="BV19" i="3"/>
  <c r="BP19" i="3"/>
  <c r="AP9" i="3"/>
  <c r="Z19" i="3"/>
  <c r="R9" i="3"/>
  <c r="CX8" i="3"/>
  <c r="CN18" i="3"/>
  <c r="CH18" i="3"/>
  <c r="CB18" i="3"/>
  <c r="BZ8" i="3"/>
  <c r="BT8" i="3"/>
  <c r="AL18" i="3"/>
  <c r="Z18" i="3"/>
  <c r="T18" i="3"/>
  <c r="CX7" i="3"/>
  <c r="CR7" i="3"/>
  <c r="CH17" i="3"/>
  <c r="CB17" i="3"/>
  <c r="BV17" i="3"/>
  <c r="BP17" i="3"/>
  <c r="AX17" i="3"/>
  <c r="AL17" i="3"/>
  <c r="Z17" i="3"/>
  <c r="CY15" i="3"/>
  <c r="CX15" i="3"/>
  <c r="CT15" i="3" s="1"/>
  <c r="CS15" i="3"/>
  <c r="CM15" i="3"/>
  <c r="CL15" i="3"/>
  <c r="CH15" i="3" s="1"/>
  <c r="CA15" i="3"/>
  <c r="BV16" i="3"/>
  <c r="BB15" i="3"/>
  <c r="AX15" i="3" s="1"/>
  <c r="AW15" i="3"/>
  <c r="AP15" i="3"/>
  <c r="AL15" i="3" s="1"/>
  <c r="AE15" i="3"/>
  <c r="Z16" i="3"/>
  <c r="Y15" i="3"/>
  <c r="T16" i="3"/>
  <c r="R6" i="3"/>
  <c r="CY9" i="3"/>
  <c r="CV9" i="3"/>
  <c r="CP9" i="3"/>
  <c r="CJ9" i="3"/>
  <c r="CH14" i="3"/>
  <c r="CD9" i="3"/>
  <c r="CC9" i="3"/>
  <c r="CA9" i="3"/>
  <c r="BX9" i="3"/>
  <c r="BV14" i="3"/>
  <c r="BR9" i="3"/>
  <c r="AX14" i="3"/>
  <c r="AR14" i="3"/>
  <c r="AQ9" i="3"/>
  <c r="AN9" i="3"/>
  <c r="AB9" i="3"/>
  <c r="AA9" i="3"/>
  <c r="U9" i="3"/>
  <c r="P9" i="3"/>
  <c r="CY8" i="3"/>
  <c r="CV8" i="3"/>
  <c r="CU8" i="3"/>
  <c r="CP8" i="3"/>
  <c r="CN13" i="3"/>
  <c r="CJ8" i="3"/>
  <c r="CH13" i="3"/>
  <c r="CD8" i="3"/>
  <c r="CC8" i="3"/>
  <c r="CA8" i="3"/>
  <c r="BW8" i="3"/>
  <c r="BR8" i="3"/>
  <c r="BQ8" i="3"/>
  <c r="AZ8" i="3"/>
  <c r="AX13" i="3"/>
  <c r="AT8" i="3"/>
  <c r="AR13" i="3"/>
  <c r="AQ8" i="3"/>
  <c r="AN8" i="3"/>
  <c r="AB8" i="3"/>
  <c r="Z13" i="3"/>
  <c r="T13" i="3"/>
  <c r="P8" i="3"/>
  <c r="CV7" i="3"/>
  <c r="CT12" i="3"/>
  <c r="CP7" i="3"/>
  <c r="CN12" i="3"/>
  <c r="CJ7" i="3"/>
  <c r="CI7" i="3"/>
  <c r="CD7" i="3"/>
  <c r="CA7" i="3"/>
  <c r="BX7" i="3"/>
  <c r="BR7" i="3"/>
  <c r="AZ7" i="3"/>
  <c r="AY7" i="3"/>
  <c r="AT7" i="3"/>
  <c r="AR12" i="3"/>
  <c r="AQ7" i="3"/>
  <c r="AN7" i="3"/>
  <c r="AM7" i="3"/>
  <c r="AB7" i="3"/>
  <c r="T12" i="3"/>
  <c r="P7" i="3"/>
  <c r="CY10" i="3"/>
  <c r="CV6" i="3"/>
  <c r="CS10" i="3"/>
  <c r="CP10" i="3"/>
  <c r="CN11" i="3"/>
  <c r="CM10" i="3"/>
  <c r="CJ6" i="3"/>
  <c r="CI10" i="3"/>
  <c r="CD10" i="3"/>
  <c r="CA10" i="3"/>
  <c r="BX10" i="3"/>
  <c r="BW6" i="3"/>
  <c r="BR10" i="3"/>
  <c r="BP11" i="3"/>
  <c r="BC10" i="3"/>
  <c r="AZ6" i="3"/>
  <c r="AY10" i="3"/>
  <c r="AN10" i="3"/>
  <c r="AM6" i="3"/>
  <c r="AE10" i="3"/>
  <c r="AB10" i="3"/>
  <c r="Y10" i="3"/>
  <c r="V10" i="3"/>
  <c r="U10" i="3"/>
  <c r="P10" i="3"/>
  <c r="DD67" i="3"/>
  <c r="DC67" i="3"/>
  <c r="CT67" i="3"/>
  <c r="CN67" i="3"/>
  <c r="CH67" i="3"/>
  <c r="BV67" i="3"/>
  <c r="BO67" i="3"/>
  <c r="BI67" i="3" s="1"/>
  <c r="BF67" i="3"/>
  <c r="BE67" i="3"/>
  <c r="AX67" i="3"/>
  <c r="DS67" i="3"/>
  <c r="T67" i="3"/>
  <c r="DD66" i="3"/>
  <c r="DC66" i="3"/>
  <c r="CH66" i="3"/>
  <c r="BF66" i="3"/>
  <c r="BE66" i="3"/>
  <c r="AX66" i="3"/>
  <c r="T66" i="3"/>
  <c r="DD65" i="3"/>
  <c r="DC65" i="3"/>
  <c r="CH65" i="3"/>
  <c r="BF65" i="3"/>
  <c r="BE65" i="3"/>
  <c r="AX65" i="3"/>
  <c r="T65" i="3"/>
  <c r="DD64" i="3"/>
  <c r="DC64" i="3"/>
  <c r="CH64" i="3"/>
  <c r="BF64" i="3"/>
  <c r="BE64" i="3"/>
  <c r="AX64" i="3"/>
  <c r="CY63" i="3"/>
  <c r="CM63" i="3"/>
  <c r="CA63" i="3"/>
  <c r="BF63" i="3"/>
  <c r="BE63" i="3"/>
  <c r="BB63" i="3"/>
  <c r="AX63" i="3" s="1"/>
  <c r="Y63" i="3"/>
  <c r="DD62" i="3"/>
  <c r="DC62" i="3"/>
  <c r="CH62" i="3"/>
  <c r="BF62" i="3"/>
  <c r="BE62" i="3"/>
  <c r="AX62" i="3"/>
  <c r="T62" i="3"/>
  <c r="DD61" i="3"/>
  <c r="DC61" i="3"/>
  <c r="BV61" i="3"/>
  <c r="BF61" i="3"/>
  <c r="BE61" i="3"/>
  <c r="DD60" i="3"/>
  <c r="DC60" i="3"/>
  <c r="CH60" i="3"/>
  <c r="BF60" i="3"/>
  <c r="BE60" i="3"/>
  <c r="DD59" i="3"/>
  <c r="DC59" i="3"/>
  <c r="CH59" i="3"/>
  <c r="BF59" i="3"/>
  <c r="BE59" i="3"/>
  <c r="DY59" i="3"/>
  <c r="BZ58" i="3"/>
  <c r="BV58" i="3" s="1"/>
  <c r="BF58" i="3"/>
  <c r="BE58" i="3"/>
  <c r="DD57" i="3"/>
  <c r="DC57" i="3"/>
  <c r="BF57" i="3"/>
  <c r="BE57" i="3"/>
  <c r="AL57" i="3"/>
  <c r="DD56" i="3"/>
  <c r="DC56" i="3"/>
  <c r="BF56" i="3"/>
  <c r="BE56" i="3"/>
  <c r="DD55" i="3"/>
  <c r="DC55" i="3"/>
  <c r="CT55" i="3"/>
  <c r="BF55" i="3"/>
  <c r="BE55" i="3"/>
  <c r="DD54" i="3"/>
  <c r="DC54" i="3"/>
  <c r="BF54" i="3"/>
  <c r="BE54" i="3"/>
  <c r="CX53" i="3"/>
  <c r="CT53" i="3" s="1"/>
  <c r="BF53" i="3"/>
  <c r="BE53" i="3"/>
  <c r="Y53" i="3"/>
  <c r="DD52" i="3"/>
  <c r="DC52" i="3"/>
  <c r="BO52" i="3"/>
  <c r="BF52" i="3"/>
  <c r="BE52" i="3"/>
  <c r="DD51" i="3"/>
  <c r="DC51" i="3"/>
  <c r="BF51" i="3"/>
  <c r="BE51" i="3"/>
  <c r="DD50" i="3"/>
  <c r="DC50" i="3"/>
  <c r="BV50" i="3"/>
  <c r="BF50" i="3"/>
  <c r="BE50" i="3"/>
  <c r="DD49" i="3"/>
  <c r="DC49" i="3"/>
  <c r="BF49" i="3"/>
  <c r="BE49" i="3"/>
  <c r="BF48" i="3"/>
  <c r="BE48" i="3"/>
  <c r="BC48" i="3"/>
  <c r="DF47" i="3"/>
  <c r="CH47" i="3"/>
  <c r="BN47" i="3"/>
  <c r="AX47" i="3"/>
  <c r="AJ47" i="3"/>
  <c r="T47" i="3"/>
  <c r="L47" i="3"/>
  <c r="DF46" i="3"/>
  <c r="CT46" i="3"/>
  <c r="CH46" i="3"/>
  <c r="BN46" i="3"/>
  <c r="AX46" i="3"/>
  <c r="AJ46" i="3"/>
  <c r="T46" i="3"/>
  <c r="L46" i="3"/>
  <c r="DF45" i="3"/>
  <c r="CH45" i="3"/>
  <c r="BN45" i="3"/>
  <c r="AX45" i="3"/>
  <c r="AJ45" i="3"/>
  <c r="T45" i="3"/>
  <c r="L45" i="3"/>
  <c r="DF44" i="3"/>
  <c r="CH44" i="3"/>
  <c r="BN44" i="3"/>
  <c r="AX44" i="3"/>
  <c r="AJ44" i="3"/>
  <c r="T44" i="3"/>
  <c r="L44" i="3"/>
  <c r="CY43" i="3"/>
  <c r="CX43" i="3"/>
  <c r="CR43" i="3"/>
  <c r="CL43" i="3"/>
  <c r="CI43" i="3"/>
  <c r="CF43" i="3"/>
  <c r="BZ43" i="3"/>
  <c r="BT43" i="3"/>
  <c r="BB43" i="3"/>
  <c r="AY43" i="3"/>
  <c r="AV43" i="3"/>
  <c r="AP43" i="3"/>
  <c r="AD43" i="3"/>
  <c r="AB43" i="3"/>
  <c r="X43" i="3"/>
  <c r="U43" i="3"/>
  <c r="S43" i="3"/>
  <c r="R43" i="3"/>
  <c r="CI42" i="3"/>
  <c r="BR42" i="3"/>
  <c r="AY42" i="3"/>
  <c r="AB42" i="3"/>
  <c r="U42" i="3"/>
  <c r="P42" i="3"/>
  <c r="CP41" i="3"/>
  <c r="CI41" i="3"/>
  <c r="BR41" i="3"/>
  <c r="AY41" i="3"/>
  <c r="U41" i="3"/>
  <c r="CP40" i="3"/>
  <c r="CI40" i="3"/>
  <c r="BR40" i="3"/>
  <c r="AY40" i="3"/>
  <c r="AM40" i="3"/>
  <c r="U40" i="3"/>
  <c r="CY39" i="3"/>
  <c r="CX39" i="3"/>
  <c r="CP39" i="3"/>
  <c r="CI39" i="3"/>
  <c r="BR39" i="3"/>
  <c r="AY39" i="3"/>
  <c r="U39" i="3"/>
  <c r="DD34" i="3"/>
  <c r="DC34" i="3"/>
  <c r="CH34" i="3"/>
  <c r="BF34" i="3"/>
  <c r="BE34" i="3"/>
  <c r="DD33" i="3"/>
  <c r="DC33" i="3"/>
  <c r="BF33" i="3"/>
  <c r="BE33" i="3"/>
  <c r="DD32" i="3"/>
  <c r="DC32" i="3"/>
  <c r="BF32" i="3"/>
  <c r="BE32" i="3"/>
  <c r="DD31" i="3"/>
  <c r="DC31" i="3"/>
  <c r="BF31" i="3"/>
  <c r="BE31" i="3"/>
  <c r="AL31" i="3"/>
  <c r="BF30" i="3"/>
  <c r="BE30" i="3"/>
  <c r="DD29" i="3"/>
  <c r="DC29" i="3"/>
  <c r="BF29" i="3"/>
  <c r="BE29" i="3"/>
  <c r="DD28" i="3"/>
  <c r="DC28" i="3"/>
  <c r="BF28" i="3"/>
  <c r="BE28" i="3"/>
  <c r="DD27" i="3"/>
  <c r="DC27" i="3"/>
  <c r="BF27" i="3"/>
  <c r="BE27" i="3"/>
  <c r="DD26" i="3"/>
  <c r="DC26" i="3"/>
  <c r="BF26" i="3"/>
  <c r="BE26" i="3"/>
  <c r="BF25" i="3"/>
  <c r="BE25" i="3"/>
  <c r="DD24" i="3"/>
  <c r="DC24" i="3"/>
  <c r="CH24" i="3"/>
  <c r="BF24" i="3"/>
  <c r="BE24" i="3"/>
  <c r="DD23" i="3"/>
  <c r="DC23" i="3"/>
  <c r="BF23" i="3"/>
  <c r="BE23" i="3"/>
  <c r="DD22" i="3"/>
  <c r="DC22" i="3"/>
  <c r="BF22" i="3"/>
  <c r="BE22" i="3"/>
  <c r="DD21" i="3"/>
  <c r="DC21" i="3"/>
  <c r="BF21" i="3"/>
  <c r="BE21" i="3"/>
  <c r="BF20" i="3"/>
  <c r="BE20" i="3"/>
  <c r="DD19" i="3"/>
  <c r="DC19" i="3"/>
  <c r="BF19" i="3"/>
  <c r="BE19" i="3"/>
  <c r="DD18" i="3"/>
  <c r="DC18" i="3"/>
  <c r="BF18" i="3"/>
  <c r="BE18" i="3"/>
  <c r="DD17" i="3"/>
  <c r="DC17" i="3"/>
  <c r="BF17" i="3"/>
  <c r="BE17" i="3"/>
  <c r="DD16" i="3"/>
  <c r="DD15" i="3" s="1"/>
  <c r="DC16" i="3"/>
  <c r="BF16" i="3"/>
  <c r="BE16" i="3"/>
  <c r="BF15" i="3"/>
  <c r="BE15" i="3"/>
  <c r="DF14" i="3"/>
  <c r="BN14" i="3"/>
  <c r="AJ14" i="3"/>
  <c r="L14" i="3"/>
  <c r="DF13" i="3"/>
  <c r="BN13" i="3"/>
  <c r="AJ13" i="3"/>
  <c r="L13" i="3"/>
  <c r="DF12" i="3"/>
  <c r="BN12" i="3"/>
  <c r="AJ12" i="3"/>
  <c r="L12" i="3"/>
  <c r="DF11" i="3"/>
  <c r="CH11" i="3"/>
  <c r="BN11" i="3"/>
  <c r="AJ11" i="3"/>
  <c r="L11" i="3"/>
  <c r="CX10" i="3"/>
  <c r="CR10" i="3"/>
  <c r="CL10" i="3"/>
  <c r="CF10" i="3"/>
  <c r="BZ10" i="3"/>
  <c r="BT10" i="3"/>
  <c r="BB10" i="3"/>
  <c r="AV10" i="3"/>
  <c r="AP10" i="3"/>
  <c r="AD10" i="3"/>
  <c r="X10" i="3"/>
  <c r="R10" i="3"/>
  <c r="U7" i="3"/>
  <c r="DC48" i="3" l="1"/>
  <c r="F44" i="3"/>
  <c r="DE31" i="3"/>
  <c r="BG58" i="3"/>
  <c r="DD58" i="3"/>
  <c r="F45" i="3"/>
  <c r="BZ39" i="3"/>
  <c r="BB53" i="3"/>
  <c r="AX53" i="3" s="1"/>
  <c r="AP63" i="3"/>
  <c r="AL63" i="3" s="1"/>
  <c r="BZ63" i="3"/>
  <c r="BV63" i="3" s="1"/>
  <c r="CX63" i="3"/>
  <c r="CT63" i="3" s="1"/>
  <c r="F11" i="3"/>
  <c r="AJ43" i="3"/>
  <c r="F14" i="3"/>
  <c r="DE34" i="3"/>
  <c r="BN43" i="3"/>
  <c r="BH43" i="3" s="1"/>
  <c r="DE60" i="3"/>
  <c r="AL43" i="3"/>
  <c r="L56" i="3"/>
  <c r="H56" i="3" s="1"/>
  <c r="DR56" i="3"/>
  <c r="AD20" i="3"/>
  <c r="Z20" i="3" s="1"/>
  <c r="X48" i="3"/>
  <c r="T48" i="3" s="1"/>
  <c r="BZ20" i="3"/>
  <c r="BV20" i="3" s="1"/>
  <c r="CX30" i="3"/>
  <c r="CT30" i="3" s="1"/>
  <c r="CH31" i="3"/>
  <c r="BB39" i="3"/>
  <c r="BB38" i="3" s="1"/>
  <c r="CO39" i="3"/>
  <c r="CQ39" i="3" s="1"/>
  <c r="CY7" i="3"/>
  <c r="CY20" i="3"/>
  <c r="T14" i="3"/>
  <c r="AN43" i="3"/>
  <c r="AO43" i="3" s="1"/>
  <c r="Z44" i="3"/>
  <c r="X41" i="3"/>
  <c r="T41" i="3" s="1"/>
  <c r="BV46" i="3"/>
  <c r="DN46" i="3" s="1"/>
  <c r="BV49" i="3"/>
  <c r="BV54" i="3"/>
  <c r="DY55" i="3"/>
  <c r="DM56" i="3"/>
  <c r="AA40" i="3"/>
  <c r="Z40" i="3" s="1"/>
  <c r="BQ41" i="3"/>
  <c r="BS41" i="3" s="1"/>
  <c r="CL41" i="3"/>
  <c r="CH41" i="3" s="1"/>
  <c r="AA43" i="3"/>
  <c r="Z43" i="3" s="1"/>
  <c r="AP48" i="3"/>
  <c r="AL48" i="3" s="1"/>
  <c r="T49" i="3"/>
  <c r="CT49" i="3"/>
  <c r="CT52" i="3"/>
  <c r="AP53" i="3"/>
  <c r="AL53" i="3" s="1"/>
  <c r="CL53" i="3"/>
  <c r="CH53" i="3" s="1"/>
  <c r="CO40" i="3"/>
  <c r="CQ40" i="3" s="1"/>
  <c r="BS45" i="3"/>
  <c r="BS46" i="3"/>
  <c r="AW40" i="3"/>
  <c r="AQ39" i="3"/>
  <c r="DS54" i="3"/>
  <c r="CG20" i="3"/>
  <c r="BO20" i="3" s="1"/>
  <c r="BI20" i="3" s="1"/>
  <c r="AK66" i="3"/>
  <c r="CR41" i="3"/>
  <c r="I47" i="3"/>
  <c r="H47" i="3" s="1"/>
  <c r="AP25" i="3"/>
  <c r="AL25" i="3" s="1"/>
  <c r="CL8" i="3"/>
  <c r="CT19" i="3"/>
  <c r="AP20" i="3"/>
  <c r="AL20" i="3" s="1"/>
  <c r="BB30" i="3"/>
  <c r="AX30" i="3" s="1"/>
  <c r="DM22" i="3"/>
  <c r="AK45" i="3"/>
  <c r="DS47" i="3"/>
  <c r="DY61" i="3"/>
  <c r="DS28" i="3"/>
  <c r="BO34" i="3"/>
  <c r="BI34" i="3" s="1"/>
  <c r="CA6" i="3"/>
  <c r="CA5" i="3" s="1"/>
  <c r="AQ40" i="3"/>
  <c r="CA43" i="3"/>
  <c r="DS44" i="3"/>
  <c r="BO49" i="3"/>
  <c r="BI49" i="3" s="1"/>
  <c r="CW45" i="3"/>
  <c r="BW9" i="3"/>
  <c r="BY9" i="3" s="1"/>
  <c r="BB6" i="3"/>
  <c r="BZ15" i="3"/>
  <c r="BV15" i="3" s="1"/>
  <c r="BV18" i="3"/>
  <c r="DR33" i="3"/>
  <c r="DR51" i="3"/>
  <c r="BN52" i="3"/>
  <c r="BJ52" i="3" s="1"/>
  <c r="DY47" i="3"/>
  <c r="DM21" i="3"/>
  <c r="BZ25" i="3"/>
  <c r="BV25" i="3" s="1"/>
  <c r="BV31" i="3"/>
  <c r="X40" i="3"/>
  <c r="T40" i="3" s="1"/>
  <c r="CV40" i="3"/>
  <c r="CW40" i="3" s="1"/>
  <c r="CO41" i="3"/>
  <c r="CQ41" i="3" s="1"/>
  <c r="BZ42" i="3"/>
  <c r="CT50" i="3"/>
  <c r="T52" i="3"/>
  <c r="CR30" i="3"/>
  <c r="CN30" i="3" s="1"/>
  <c r="DM26" i="3"/>
  <c r="AK29" i="3"/>
  <c r="DS45" i="3"/>
  <c r="DS46" i="3"/>
  <c r="DS49" i="3"/>
  <c r="AK52" i="3"/>
  <c r="CA40" i="3"/>
  <c r="CA48" i="3"/>
  <c r="M23" i="3"/>
  <c r="BO33" i="3"/>
  <c r="BI33" i="3" s="1"/>
  <c r="DS34" i="3"/>
  <c r="BC40" i="3"/>
  <c r="CM41" i="3"/>
  <c r="Y42" i="3"/>
  <c r="DS56" i="3"/>
  <c r="M22" i="3"/>
  <c r="BO22" i="3"/>
  <c r="BI22" i="3" s="1"/>
  <c r="M27" i="3"/>
  <c r="M29" i="3"/>
  <c r="Y40" i="3"/>
  <c r="DS60" i="3"/>
  <c r="BO21" i="3"/>
  <c r="BI21" i="3" s="1"/>
  <c r="CA41" i="3"/>
  <c r="DY19" i="3"/>
  <c r="DM23" i="3"/>
  <c r="DM24" i="3"/>
  <c r="DY27" i="3"/>
  <c r="DY28" i="3"/>
  <c r="DM29" i="3"/>
  <c r="DM32" i="3"/>
  <c r="DY34" i="3"/>
  <c r="BO60" i="3"/>
  <c r="BI60" i="3" s="1"/>
  <c r="M61" i="3"/>
  <c r="BO61" i="3"/>
  <c r="BI61" i="3" s="1"/>
  <c r="BO62" i="3"/>
  <c r="BI62" i="3" s="1"/>
  <c r="M65" i="3"/>
  <c r="DS65" i="3"/>
  <c r="BO65" i="3"/>
  <c r="BI65" i="3" s="1"/>
  <c r="M67" i="3"/>
  <c r="DP14" i="3"/>
  <c r="AK46" i="3"/>
  <c r="DY49" i="3"/>
  <c r="AK50" i="3"/>
  <c r="DM50" i="3"/>
  <c r="DM51" i="3"/>
  <c r="AW42" i="3"/>
  <c r="DS42" i="3" s="1"/>
  <c r="DY52" i="3"/>
  <c r="DY57" i="3"/>
  <c r="AC45" i="3"/>
  <c r="CQ45" i="3"/>
  <c r="AC47" i="3"/>
  <c r="CQ47" i="3"/>
  <c r="CP42" i="3"/>
  <c r="CP38" i="3" s="1"/>
  <c r="AB40" i="3"/>
  <c r="AB38" i="3" s="1"/>
  <c r="CQ46" i="3"/>
  <c r="AT9" i="3"/>
  <c r="DP9" i="3" s="1"/>
  <c r="Y39" i="3"/>
  <c r="CU39" i="3"/>
  <c r="CT39" i="3" s="1"/>
  <c r="CT45" i="3"/>
  <c r="DI47" i="3"/>
  <c r="CS8" i="3"/>
  <c r="AE9" i="3"/>
  <c r="BU9" i="3"/>
  <c r="DM9" i="3" s="1"/>
  <c r="CS9" i="3"/>
  <c r="AE40" i="3"/>
  <c r="CS40" i="3"/>
  <c r="AE41" i="3"/>
  <c r="CS41" i="3"/>
  <c r="CS42" i="3"/>
  <c r="DS21" i="3"/>
  <c r="BO31" i="3"/>
  <c r="BI31" i="3" s="1"/>
  <c r="L43" i="3"/>
  <c r="AT43" i="3"/>
  <c r="CU43" i="3"/>
  <c r="CT43" i="3" s="1"/>
  <c r="CW44" i="3"/>
  <c r="BY47" i="3"/>
  <c r="BO24" i="3"/>
  <c r="BI24" i="3" s="1"/>
  <c r="BY46" i="3"/>
  <c r="DS64" i="3"/>
  <c r="BG15" i="3"/>
  <c r="BG20" i="3"/>
  <c r="DE28" i="3"/>
  <c r="AM41" i="3"/>
  <c r="AO41" i="3" s="1"/>
  <c r="DE56" i="3"/>
  <c r="DE61" i="3"/>
  <c r="DM62" i="3"/>
  <c r="DE62" i="3"/>
  <c r="AX10" i="3"/>
  <c r="U6" i="3"/>
  <c r="BY45" i="3"/>
  <c r="AC46" i="3"/>
  <c r="AO47" i="3"/>
  <c r="DY45" i="3"/>
  <c r="BS47" i="3"/>
  <c r="DP44" i="3"/>
  <c r="BL46" i="3"/>
  <c r="BF46" i="3" s="1"/>
  <c r="X39" i="3"/>
  <c r="T39" i="3" s="1"/>
  <c r="BQ39" i="3"/>
  <c r="BX39" i="3"/>
  <c r="DP39" i="3" s="1"/>
  <c r="CL39" i="3"/>
  <c r="CH39" i="3" s="1"/>
  <c r="CV39" i="3"/>
  <c r="BQ40" i="3"/>
  <c r="BS40" i="3" s="1"/>
  <c r="BX40" i="3"/>
  <c r="DP40" i="3" s="1"/>
  <c r="CL40" i="3"/>
  <c r="CH40" i="3" s="1"/>
  <c r="AA41" i="3"/>
  <c r="AC41" i="3" s="1"/>
  <c r="BZ41" i="3"/>
  <c r="BV41" i="3" s="1"/>
  <c r="CX41" i="3"/>
  <c r="CX38" i="3" s="1"/>
  <c r="AA42" i="3"/>
  <c r="AC42" i="3" s="1"/>
  <c r="AN42" i="3"/>
  <c r="AN38" i="3" s="1"/>
  <c r="BQ42" i="3"/>
  <c r="CL42" i="3"/>
  <c r="CH42" i="3" s="1"/>
  <c r="BQ43" i="3"/>
  <c r="AC44" i="3"/>
  <c r="CQ44" i="3"/>
  <c r="DP45" i="3"/>
  <c r="CL48" i="3"/>
  <c r="CH48" i="3" s="1"/>
  <c r="X58" i="3"/>
  <c r="T58" i="3" s="1"/>
  <c r="CX58" i="3"/>
  <c r="CT58" i="3" s="1"/>
  <c r="DP46" i="3"/>
  <c r="DP47" i="3"/>
  <c r="CD6" i="3"/>
  <c r="CD5" i="3" s="1"/>
  <c r="T11" i="3"/>
  <c r="AO45" i="3"/>
  <c r="CW46" i="3"/>
  <c r="AB6" i="3"/>
  <c r="AB5" i="3" s="1"/>
  <c r="CI8" i="3"/>
  <c r="AY9" i="3"/>
  <c r="DU9" i="3" s="1"/>
  <c r="CI9" i="3"/>
  <c r="CK9" i="3" s="1"/>
  <c r="AX12" i="3"/>
  <c r="W13" i="3"/>
  <c r="AY6" i="3"/>
  <c r="BA6" i="3" s="1"/>
  <c r="AY8" i="3"/>
  <c r="BA8" i="3" s="1"/>
  <c r="AX11" i="3"/>
  <c r="Y7" i="3"/>
  <c r="BC9" i="3"/>
  <c r="CI6" i="3"/>
  <c r="CP6" i="3"/>
  <c r="CP5" i="3" s="1"/>
  <c r="U8" i="3"/>
  <c r="CH12" i="3"/>
  <c r="DS14" i="3"/>
  <c r="W46" i="3"/>
  <c r="BA46" i="3"/>
  <c r="CM9" i="3"/>
  <c r="S6" i="3"/>
  <c r="DS18" i="3"/>
  <c r="BO19" i="3"/>
  <c r="BI19" i="3" s="1"/>
  <c r="M21" i="3"/>
  <c r="DS22" i="3"/>
  <c r="DY22" i="3"/>
  <c r="DS23" i="3"/>
  <c r="BO23" i="3"/>
  <c r="BI23" i="3" s="1"/>
  <c r="DY23" i="3"/>
  <c r="M24" i="3"/>
  <c r="DS24" i="3"/>
  <c r="DY24" i="3"/>
  <c r="M26" i="3"/>
  <c r="AK26" i="3"/>
  <c r="DY26" i="3"/>
  <c r="DS27" i="3"/>
  <c r="DM27" i="3"/>
  <c r="M28" i="3"/>
  <c r="AK28" i="3"/>
  <c r="BO28" i="3"/>
  <c r="BI28" i="3" s="1"/>
  <c r="DS29" i="3"/>
  <c r="DY29" i="3"/>
  <c r="M31" i="3"/>
  <c r="M32" i="3"/>
  <c r="DS32" i="3"/>
  <c r="BO32" i="3"/>
  <c r="BI32" i="3" s="1"/>
  <c r="DY32" i="3"/>
  <c r="M33" i="3"/>
  <c r="DS33" i="3"/>
  <c r="DM33" i="3"/>
  <c r="DY33" i="3"/>
  <c r="M34" i="3"/>
  <c r="DM34" i="3"/>
  <c r="BC39" i="3"/>
  <c r="BL44" i="3"/>
  <c r="BF44" i="3" s="1"/>
  <c r="CM40" i="3"/>
  <c r="Y41" i="3"/>
  <c r="Q47" i="3"/>
  <c r="AK47" i="3"/>
  <c r="BL47" i="3"/>
  <c r="BF47" i="3" s="1"/>
  <c r="CM42" i="3"/>
  <c r="M49" i="3"/>
  <c r="AK49" i="3"/>
  <c r="DM49" i="3"/>
  <c r="CG39" i="3"/>
  <c r="M50" i="3"/>
  <c r="DS50" i="3"/>
  <c r="BO50" i="3"/>
  <c r="BI50" i="3" s="1"/>
  <c r="DY50" i="3"/>
  <c r="M51" i="3"/>
  <c r="BO51" i="3"/>
  <c r="BI51" i="3" s="1"/>
  <c r="CG41" i="3"/>
  <c r="DS52" i="3"/>
  <c r="DM52" i="3"/>
  <c r="CG42" i="3"/>
  <c r="M54" i="3"/>
  <c r="DM54" i="3"/>
  <c r="DY54" i="3"/>
  <c r="M55" i="3"/>
  <c r="DS55" i="3"/>
  <c r="BO55" i="3"/>
  <c r="BI55" i="3" s="1"/>
  <c r="M56" i="3"/>
  <c r="BO56" i="3"/>
  <c r="BI56" i="3" s="1"/>
  <c r="DY56" i="3"/>
  <c r="M57" i="3"/>
  <c r="DS57" i="3"/>
  <c r="BO57" i="3"/>
  <c r="BI57" i="3" s="1"/>
  <c r="M59" i="3"/>
  <c r="DS59" i="3"/>
  <c r="DY60" i="3"/>
  <c r="DS61" i="3"/>
  <c r="DM61" i="3"/>
  <c r="M62" i="3"/>
  <c r="DS62" i="3"/>
  <c r="DY62" i="3"/>
  <c r="BO64" i="3"/>
  <c r="BI64" i="3" s="1"/>
  <c r="DY65" i="3"/>
  <c r="M66" i="3"/>
  <c r="DS66" i="3"/>
  <c r="BO66" i="3"/>
  <c r="BI66" i="3" s="1"/>
  <c r="DY66" i="3"/>
  <c r="AK67" i="3"/>
  <c r="DM67" i="3"/>
  <c r="DY67" i="3"/>
  <c r="BS44" i="3"/>
  <c r="DE27" i="3"/>
  <c r="N49" i="3"/>
  <c r="DE52" i="3"/>
  <c r="DD53" i="3"/>
  <c r="AL44" i="3"/>
  <c r="DH44" i="3" s="1"/>
  <c r="AM39" i="3"/>
  <c r="AL39" i="3" s="1"/>
  <c r="AK51" i="3"/>
  <c r="AW41" i="3"/>
  <c r="M52" i="3"/>
  <c r="S42" i="3"/>
  <c r="BO59" i="3"/>
  <c r="BI59" i="3" s="1"/>
  <c r="BU58" i="3"/>
  <c r="BO58" i="3" s="1"/>
  <c r="BI58" i="3" s="1"/>
  <c r="DS26" i="3"/>
  <c r="P39" i="3"/>
  <c r="P38" i="3" s="1"/>
  <c r="CM39" i="3"/>
  <c r="S40" i="3"/>
  <c r="AZ41" i="3"/>
  <c r="DV41" i="3" s="1"/>
  <c r="BW42" i="3"/>
  <c r="BY42" i="3" s="1"/>
  <c r="CD43" i="3"/>
  <c r="BL43" i="3" s="1"/>
  <c r="BY44" i="3"/>
  <c r="AL45" i="3"/>
  <c r="DH45" i="3" s="1"/>
  <c r="DM55" i="3"/>
  <c r="DM66" i="3"/>
  <c r="F13" i="3"/>
  <c r="DY31" i="3"/>
  <c r="CG30" i="3"/>
  <c r="BO30" i="3" s="1"/>
  <c r="BI30" i="3" s="1"/>
  <c r="DY46" i="3"/>
  <c r="BC41" i="3"/>
  <c r="CT47" i="3"/>
  <c r="CU42" i="3"/>
  <c r="AJ10" i="3"/>
  <c r="DE19" i="3"/>
  <c r="DY21" i="3"/>
  <c r="CG25" i="3"/>
  <c r="BO25" i="3" s="1"/>
  <c r="BI25" i="3" s="1"/>
  <c r="DD25" i="3"/>
  <c r="BO26" i="3"/>
  <c r="BI26" i="3" s="1"/>
  <c r="AK27" i="3"/>
  <c r="DE29" i="3"/>
  <c r="DM31" i="3"/>
  <c r="AW39" i="3"/>
  <c r="CG40" i="3"/>
  <c r="CD42" i="3"/>
  <c r="BL42" i="3" s="1"/>
  <c r="BW43" i="3"/>
  <c r="BY43" i="3" s="1"/>
  <c r="AK44" i="3"/>
  <c r="DF43" i="3"/>
  <c r="DI46" i="3"/>
  <c r="F47" i="3"/>
  <c r="DS51" i="3"/>
  <c r="BO54" i="3"/>
  <c r="BI54" i="3" s="1"/>
  <c r="DM57" i="3"/>
  <c r="AK59" i="3"/>
  <c r="BU63" i="3"/>
  <c r="BO63" i="3" s="1"/>
  <c r="BI63" i="3" s="1"/>
  <c r="DC15" i="3"/>
  <c r="DE15" i="3" s="1"/>
  <c r="DM19" i="3"/>
  <c r="DD20" i="3"/>
  <c r="DE24" i="3"/>
  <c r="AW25" i="3"/>
  <c r="AK25" i="3" s="1"/>
  <c r="DC25" i="3"/>
  <c r="DM28" i="3"/>
  <c r="DC30" i="3"/>
  <c r="DS31" i="3"/>
  <c r="BW39" i="3"/>
  <c r="CD39" i="3"/>
  <c r="CR40" i="3"/>
  <c r="S41" i="3"/>
  <c r="AM42" i="3"/>
  <c r="AL42" i="3" s="1"/>
  <c r="AT42" i="3"/>
  <c r="AT38" i="3" s="1"/>
  <c r="BC42" i="3"/>
  <c r="DI44" i="3"/>
  <c r="DI45" i="3"/>
  <c r="BL45" i="3"/>
  <c r="BF45" i="3" s="1"/>
  <c r="BV45" i="3"/>
  <c r="F46" i="3"/>
  <c r="AO46" i="3"/>
  <c r="CW47" i="3"/>
  <c r="AW48" i="3"/>
  <c r="AK48" i="3" s="1"/>
  <c r="CG48" i="3"/>
  <c r="DY51" i="3"/>
  <c r="DE51" i="3"/>
  <c r="DX52" i="3"/>
  <c r="DE57" i="3"/>
  <c r="DM59" i="3"/>
  <c r="S39" i="3"/>
  <c r="DE22" i="3"/>
  <c r="BG25" i="3"/>
  <c r="BG48" i="3"/>
  <c r="DC58" i="3"/>
  <c r="DE58" i="3" s="1"/>
  <c r="DE65" i="3"/>
  <c r="DE66" i="3"/>
  <c r="AJ17" i="3"/>
  <c r="AF17" i="3" s="1"/>
  <c r="AJ19" i="3"/>
  <c r="AF19" i="3" s="1"/>
  <c r="Q45" i="3"/>
  <c r="J47" i="3"/>
  <c r="AM10" i="3"/>
  <c r="AL10" i="3" s="1"/>
  <c r="CT13" i="3"/>
  <c r="DS39" i="3"/>
  <c r="DO11" i="3"/>
  <c r="CE11" i="3"/>
  <c r="AE7" i="3"/>
  <c r="CE12" i="3"/>
  <c r="CS7" i="3"/>
  <c r="AE8" i="3"/>
  <c r="BC6" i="3"/>
  <c r="CG7" i="3"/>
  <c r="Y6" i="3"/>
  <c r="AJ55" i="3"/>
  <c r="AF55" i="3" s="1"/>
  <c r="AJ56" i="3"/>
  <c r="AF56" i="3" s="1"/>
  <c r="DX33" i="3"/>
  <c r="AG44" i="3"/>
  <c r="AF44" i="3" s="1"/>
  <c r="AG45" i="3"/>
  <c r="AF45" i="3" s="1"/>
  <c r="DL55" i="3"/>
  <c r="DL56" i="3"/>
  <c r="DX57" i="3"/>
  <c r="DL60" i="3"/>
  <c r="DX62" i="3"/>
  <c r="AJ64" i="3"/>
  <c r="AF64" i="3" s="1"/>
  <c r="AJ65" i="3"/>
  <c r="AF65" i="3" s="1"/>
  <c r="AO44" i="3"/>
  <c r="AD8" i="3"/>
  <c r="M45" i="3"/>
  <c r="AX41" i="3"/>
  <c r="DJ9" i="3"/>
  <c r="BV8" i="3"/>
  <c r="DL28" i="3"/>
  <c r="DY44" i="3"/>
  <c r="BA13" i="3"/>
  <c r="CT26" i="3"/>
  <c r="CX25" i="3"/>
  <c r="CT25" i="3" s="1"/>
  <c r="AN6" i="3"/>
  <c r="AO6" i="3" s="1"/>
  <c r="BB7" i="3"/>
  <c r="AX7" i="3" s="1"/>
  <c r="BS11" i="3"/>
  <c r="AL16" i="3"/>
  <c r="CT18" i="3"/>
  <c r="AQ10" i="3"/>
  <c r="AQ6" i="3"/>
  <c r="AQ5" i="3" s="1"/>
  <c r="X6" i="3"/>
  <c r="AP6" i="3"/>
  <c r="AL6" i="3" s="1"/>
  <c r="CL7" i="3"/>
  <c r="CH7" i="3" s="1"/>
  <c r="BZ9" i="3"/>
  <c r="CL9" i="3"/>
  <c r="Z14" i="3"/>
  <c r="AX16" i="3"/>
  <c r="CX20" i="3"/>
  <c r="CT20" i="3" s="1"/>
  <c r="CH26" i="3"/>
  <c r="BP14" i="3"/>
  <c r="DI14" i="3"/>
  <c r="CN14" i="3"/>
  <c r="CO9" i="3"/>
  <c r="CN9" i="3" s="1"/>
  <c r="AX19" i="3"/>
  <c r="BB9" i="3"/>
  <c r="T26" i="3"/>
  <c r="X25" i="3"/>
  <c r="T25" i="3" s="1"/>
  <c r="BS14" i="3"/>
  <c r="CH16" i="3"/>
  <c r="CT17" i="3"/>
  <c r="AL19" i="3"/>
  <c r="DH19" i="3" s="1"/>
  <c r="BX6" i="3"/>
  <c r="BY6" i="3" s="1"/>
  <c r="CL6" i="3"/>
  <c r="BZ7" i="3"/>
  <c r="BL14" i="3"/>
  <c r="BF14" i="3" s="1"/>
  <c r="CQ14" i="3"/>
  <c r="BB20" i="3"/>
  <c r="AX20" i="3" s="1"/>
  <c r="CL20" i="3"/>
  <c r="CH20" i="3" s="1"/>
  <c r="T19" i="3"/>
  <c r="X9" i="3"/>
  <c r="T9" i="3" s="1"/>
  <c r="DL31" i="3"/>
  <c r="AP30" i="3"/>
  <c r="AL30" i="3" s="1"/>
  <c r="CG9" i="3"/>
  <c r="DY14" i="3"/>
  <c r="X7" i="3"/>
  <c r="T7" i="3" s="1"/>
  <c r="T17" i="3"/>
  <c r="AX18" i="3"/>
  <c r="DT18" i="3" s="1"/>
  <c r="BB8" i="3"/>
  <c r="CV10" i="3"/>
  <c r="W12" i="3"/>
  <c r="BO12" i="3"/>
  <c r="BI12" i="3" s="1"/>
  <c r="CK7" i="3"/>
  <c r="BO13" i="3"/>
  <c r="BI13" i="3" s="1"/>
  <c r="I14" i="3"/>
  <c r="H14" i="3" s="1"/>
  <c r="DR16" i="3"/>
  <c r="DR17" i="3"/>
  <c r="L18" i="3"/>
  <c r="H18" i="3" s="1"/>
  <c r="AJ18" i="3"/>
  <c r="AF18" i="3" s="1"/>
  <c r="DX19" i="3"/>
  <c r="DR23" i="3"/>
  <c r="DX24" i="3"/>
  <c r="DR26" i="3"/>
  <c r="DL29" i="3"/>
  <c r="DX31" i="3"/>
  <c r="L32" i="3"/>
  <c r="H32" i="3" s="1"/>
  <c r="DL32" i="3"/>
  <c r="DX32" i="3"/>
  <c r="L33" i="3"/>
  <c r="H33" i="3" s="1"/>
  <c r="AJ33" i="3"/>
  <c r="AF33" i="3" s="1"/>
  <c r="DR34" i="3"/>
  <c r="DL34" i="3"/>
  <c r="DX34" i="3"/>
  <c r="AH46" i="3"/>
  <c r="I11" i="3"/>
  <c r="H11" i="3" s="1"/>
  <c r="BR6" i="3"/>
  <c r="BR5" i="3" s="1"/>
  <c r="CY6" i="3"/>
  <c r="DP7" i="3"/>
  <c r="CG43" i="3"/>
  <c r="CO43" i="3"/>
  <c r="CN43" i="3" s="1"/>
  <c r="DN59" i="3"/>
  <c r="DI12" i="3"/>
  <c r="DP12" i="3"/>
  <c r="BC7" i="3"/>
  <c r="CM7" i="3"/>
  <c r="Y8" i="3"/>
  <c r="BC8" i="3"/>
  <c r="CM8" i="3"/>
  <c r="Y9" i="3"/>
  <c r="DN28" i="3"/>
  <c r="DJ8" i="3"/>
  <c r="CN17" i="3"/>
  <c r="BL10" i="3"/>
  <c r="DP13" i="3"/>
  <c r="BK8" i="3"/>
  <c r="CE8" i="3"/>
  <c r="M16" i="3"/>
  <c r="M17" i="3"/>
  <c r="DS17" i="3"/>
  <c r="DY17" i="3"/>
  <c r="M18" i="3"/>
  <c r="DS19" i="3"/>
  <c r="W10" i="3"/>
  <c r="AE6" i="3"/>
  <c r="T10" i="3"/>
  <c r="CB12" i="3"/>
  <c r="CR8" i="3"/>
  <c r="CH10" i="3"/>
  <c r="N14" i="3"/>
  <c r="BO14" i="3"/>
  <c r="BI14" i="3" s="1"/>
  <c r="M48" i="3"/>
  <c r="BO53" i="3"/>
  <c r="BI53" i="3" s="1"/>
  <c r="DJ11" i="3"/>
  <c r="DS11" i="3"/>
  <c r="CQ11" i="3"/>
  <c r="BS12" i="3"/>
  <c r="DS13" i="3"/>
  <c r="BS13" i="3"/>
  <c r="V7" i="3"/>
  <c r="W7" i="3" s="1"/>
  <c r="W11" i="3"/>
  <c r="DR18" i="3"/>
  <c r="BP18" i="3"/>
  <c r="DH18" i="3" s="1"/>
  <c r="L21" i="3"/>
  <c r="H21" i="3" s="1"/>
  <c r="AJ23" i="3"/>
  <c r="AF23" i="3" s="1"/>
  <c r="DN50" i="3"/>
  <c r="BA7" i="3"/>
  <c r="AH7" i="3"/>
  <c r="BO11" i="3"/>
  <c r="BI11" i="3" s="1"/>
  <c r="DM11" i="3"/>
  <c r="BA14" i="3"/>
  <c r="AZ9" i="3"/>
  <c r="DV9" i="3" s="1"/>
  <c r="DU14" i="3"/>
  <c r="CB14" i="3"/>
  <c r="DT14" i="3" s="1"/>
  <c r="L16" i="3"/>
  <c r="H16" i="3" s="1"/>
  <c r="R15" i="3"/>
  <c r="N15" i="3" s="1"/>
  <c r="N16" i="3"/>
  <c r="BP16" i="3"/>
  <c r="BT6" i="3"/>
  <c r="BT15" i="3"/>
  <c r="BP15" i="3" s="1"/>
  <c r="CN16" i="3"/>
  <c r="CR15" i="3"/>
  <c r="CN15" i="3" s="1"/>
  <c r="R8" i="3"/>
  <c r="N18" i="3"/>
  <c r="DR19" i="3"/>
  <c r="AV9" i="3"/>
  <c r="BP21" i="3"/>
  <c r="DH21" i="3" s="1"/>
  <c r="BT20" i="3"/>
  <c r="BP20" i="3" s="1"/>
  <c r="L22" i="3"/>
  <c r="H22" i="3" s="1"/>
  <c r="N22" i="3"/>
  <c r="CB23" i="3"/>
  <c r="DT23" i="3" s="1"/>
  <c r="DX23" i="3"/>
  <c r="N24" i="3"/>
  <c r="L24" i="3"/>
  <c r="H24" i="3" s="1"/>
  <c r="BT25" i="3"/>
  <c r="BP26" i="3"/>
  <c r="BN26" i="3"/>
  <c r="BJ26" i="3" s="1"/>
  <c r="DL26" i="3"/>
  <c r="CN26" i="3"/>
  <c r="CR25" i="3"/>
  <c r="CN25" i="3" s="1"/>
  <c r="DX28" i="3"/>
  <c r="CB28" i="3"/>
  <c r="DR29" i="3"/>
  <c r="AR29" i="3"/>
  <c r="L34" i="3"/>
  <c r="H34" i="3" s="1"/>
  <c r="N34" i="3"/>
  <c r="N44" i="3"/>
  <c r="I44" i="3"/>
  <c r="H44" i="3" s="1"/>
  <c r="Q44" i="3"/>
  <c r="O43" i="3"/>
  <c r="N43" i="3" s="1"/>
  <c r="AE39" i="3"/>
  <c r="M44" i="3"/>
  <c r="AE43" i="3"/>
  <c r="M43" i="3" s="1"/>
  <c r="AZ43" i="3"/>
  <c r="BA43" i="3" s="1"/>
  <c r="AZ39" i="3"/>
  <c r="AH39" i="3" s="1"/>
  <c r="CC43" i="3"/>
  <c r="CB43" i="3" s="1"/>
  <c r="DU44" i="3"/>
  <c r="CE44" i="3"/>
  <c r="BK44" i="3"/>
  <c r="CS39" i="3"/>
  <c r="CS43" i="3"/>
  <c r="W45" i="3"/>
  <c r="V40" i="3"/>
  <c r="J45" i="3"/>
  <c r="BU40" i="3"/>
  <c r="DM45" i="3"/>
  <c r="BO45" i="3"/>
  <c r="CK45" i="3"/>
  <c r="CJ40" i="3"/>
  <c r="CK40" i="3" s="1"/>
  <c r="Q46" i="3"/>
  <c r="I46" i="3"/>
  <c r="H46" i="3" s="1"/>
  <c r="O41" i="3"/>
  <c r="N46" i="3"/>
  <c r="DO46" i="3"/>
  <c r="AG46" i="3"/>
  <c r="AF46" i="3" s="1"/>
  <c r="AS41" i="3"/>
  <c r="DM46" i="3"/>
  <c r="BO46" i="3"/>
  <c r="BU41" i="3"/>
  <c r="DM41" i="3" s="1"/>
  <c r="CJ41" i="3"/>
  <c r="CK41" i="3" s="1"/>
  <c r="M47" i="3"/>
  <c r="AE42" i="3"/>
  <c r="BA47" i="3"/>
  <c r="AH47" i="3"/>
  <c r="CE47" i="3"/>
  <c r="CB47" i="3"/>
  <c r="DT47" i="3" s="1"/>
  <c r="BK47" i="3"/>
  <c r="BJ47" i="3" s="1"/>
  <c r="DR49" i="3"/>
  <c r="AV39" i="3"/>
  <c r="AR49" i="3"/>
  <c r="CN49" i="3"/>
  <c r="CR39" i="3"/>
  <c r="DR50" i="3"/>
  <c r="AV40" i="3"/>
  <c r="DR40" i="3" s="1"/>
  <c r="CF40" i="3"/>
  <c r="DX40" i="3" s="1"/>
  <c r="DX50" i="3"/>
  <c r="BT41" i="3"/>
  <c r="BN51" i="3"/>
  <c r="BJ51" i="3" s="1"/>
  <c r="DL51" i="3"/>
  <c r="Z52" i="3"/>
  <c r="AD42" i="3"/>
  <c r="BP52" i="3"/>
  <c r="BT42" i="3"/>
  <c r="CN52" i="3"/>
  <c r="CR42" i="3"/>
  <c r="CN42" i="3" s="1"/>
  <c r="DR54" i="3"/>
  <c r="AJ54" i="3"/>
  <c r="AF54" i="3" s="1"/>
  <c r="DL54" i="3"/>
  <c r="BT53" i="3"/>
  <c r="BP53" i="3" s="1"/>
  <c r="BP54" i="3"/>
  <c r="DH54" i="3" s="1"/>
  <c r="CR53" i="3"/>
  <c r="CN53" i="3" s="1"/>
  <c r="CN54" i="3"/>
  <c r="BT58" i="3"/>
  <c r="BP58" i="3" s="1"/>
  <c r="BP59" i="3"/>
  <c r="BN59" i="3"/>
  <c r="BJ59" i="3" s="1"/>
  <c r="DL59" i="3"/>
  <c r="CN59" i="3"/>
  <c r="CR58" i="3"/>
  <c r="CN58" i="3" s="1"/>
  <c r="CB64" i="3"/>
  <c r="DT64" i="3" s="1"/>
  <c r="CF63" i="3"/>
  <c r="CB63" i="3" s="1"/>
  <c r="N66" i="3"/>
  <c r="L66" i="3"/>
  <c r="H66" i="3" s="1"/>
  <c r="AR66" i="3"/>
  <c r="DN66" i="3" s="1"/>
  <c r="DR66" i="3"/>
  <c r="AJ66" i="3"/>
  <c r="AF66" i="3" s="1"/>
  <c r="CB66" i="3"/>
  <c r="DT66" i="3" s="1"/>
  <c r="DX66" i="3"/>
  <c r="AV6" i="3"/>
  <c r="AV7" i="3"/>
  <c r="AH8" i="3"/>
  <c r="L10" i="3"/>
  <c r="AS10" i="3"/>
  <c r="CJ10" i="3"/>
  <c r="CK10" i="3" s="1"/>
  <c r="BA12" i="3"/>
  <c r="AD15" i="3"/>
  <c r="Z15" i="3" s="1"/>
  <c r="L23" i="3"/>
  <c r="H23" i="3" s="1"/>
  <c r="DL24" i="3"/>
  <c r="AV25" i="3"/>
  <c r="AR25" i="3" s="1"/>
  <c r="BN27" i="3"/>
  <c r="BJ27" i="3" s="1"/>
  <c r="AV41" i="3"/>
  <c r="CC42" i="3"/>
  <c r="CB42" i="3" s="1"/>
  <c r="DU47" i="3"/>
  <c r="Z50" i="3"/>
  <c r="DD63" i="3"/>
  <c r="DX65" i="3"/>
  <c r="Q11" i="3"/>
  <c r="BV12" i="3"/>
  <c r="DN12" i="3" s="1"/>
  <c r="BW7" i="3"/>
  <c r="CT14" i="3"/>
  <c r="CU9" i="3"/>
  <c r="CT9" i="3" s="1"/>
  <c r="CG8" i="3"/>
  <c r="DY18" i="3"/>
  <c r="CF6" i="3"/>
  <c r="CF15" i="3"/>
  <c r="CB15" i="3" s="1"/>
  <c r="DR21" i="3"/>
  <c r="AV20" i="3"/>
  <c r="AR20" i="3" s="1"/>
  <c r="CN21" i="3"/>
  <c r="CR20" i="3"/>
  <c r="CN20" i="3" s="1"/>
  <c r="AJ22" i="3"/>
  <c r="AF22" i="3" s="1"/>
  <c r="DR22" i="3"/>
  <c r="DR24" i="3"/>
  <c r="AJ24" i="3"/>
  <c r="AF24" i="3" s="1"/>
  <c r="L31" i="3"/>
  <c r="H31" i="3" s="1"/>
  <c r="R30" i="3"/>
  <c r="N30" i="3" s="1"/>
  <c r="N31" i="3"/>
  <c r="AT6" i="3"/>
  <c r="DP11" i="3"/>
  <c r="CT11" i="3"/>
  <c r="CU10" i="3"/>
  <c r="CT10" i="3" s="1"/>
  <c r="AL14" i="3"/>
  <c r="AO14" i="3"/>
  <c r="CE14" i="3"/>
  <c r="DM16" i="3"/>
  <c r="BU15" i="3"/>
  <c r="BO16" i="3"/>
  <c r="BI16" i="3" s="1"/>
  <c r="BO17" i="3"/>
  <c r="BI17" i="3" s="1"/>
  <c r="DM17" i="3"/>
  <c r="BO18" i="3"/>
  <c r="BI18" i="3" s="1"/>
  <c r="DM18" i="3"/>
  <c r="M19" i="3"/>
  <c r="CU7" i="3"/>
  <c r="CT7" i="3" s="1"/>
  <c r="CB11" i="3"/>
  <c r="CC10" i="3"/>
  <c r="CB10" i="3" s="1"/>
  <c r="N12" i="3"/>
  <c r="I12" i="3"/>
  <c r="H12" i="3" s="1"/>
  <c r="I13" i="3"/>
  <c r="H13" i="3" s="1"/>
  <c r="N13" i="3"/>
  <c r="W14" i="3"/>
  <c r="V9" i="3"/>
  <c r="W9" i="3" s="1"/>
  <c r="L17" i="3"/>
  <c r="H17" i="3" s="1"/>
  <c r="R7" i="3"/>
  <c r="N17" i="3"/>
  <c r="CB19" i="3"/>
  <c r="CF9" i="3"/>
  <c r="CB9" i="3" s="1"/>
  <c r="CF20" i="3"/>
  <c r="CB20" i="3" s="1"/>
  <c r="CB21" i="3"/>
  <c r="DT21" i="3" s="1"/>
  <c r="CF25" i="3"/>
  <c r="CB25" i="3" s="1"/>
  <c r="CB26" i="3"/>
  <c r="DX26" i="3"/>
  <c r="DR27" i="3"/>
  <c r="AR27" i="3"/>
  <c r="DN27" i="3" s="1"/>
  <c r="Z31" i="3"/>
  <c r="AD30" i="3"/>
  <c r="Z30" i="3" s="1"/>
  <c r="AJ31" i="3"/>
  <c r="AF31" i="3" s="1"/>
  <c r="DR31" i="3"/>
  <c r="DR32" i="3"/>
  <c r="AJ32" i="3"/>
  <c r="AF32" i="3" s="1"/>
  <c r="BP33" i="3"/>
  <c r="DH33" i="3" s="1"/>
  <c r="DL33" i="3"/>
  <c r="AS43" i="3"/>
  <c r="AS39" i="3"/>
  <c r="AR44" i="3"/>
  <c r="DN44" i="3" s="1"/>
  <c r="DM44" i="3"/>
  <c r="BO44" i="3"/>
  <c r="BU43" i="3"/>
  <c r="BU39" i="3"/>
  <c r="CK44" i="3"/>
  <c r="CJ43" i="3"/>
  <c r="CK43" i="3" s="1"/>
  <c r="N45" i="3"/>
  <c r="I45" i="3"/>
  <c r="H45" i="3" s="1"/>
  <c r="O40" i="3"/>
  <c r="BA45" i="3"/>
  <c r="AH45" i="3"/>
  <c r="CB45" i="3"/>
  <c r="DT45" i="3" s="1"/>
  <c r="BK45" i="3"/>
  <c r="BJ45" i="3" s="1"/>
  <c r="CE45" i="3"/>
  <c r="CC40" i="3"/>
  <c r="J46" i="3"/>
  <c r="V41" i="3"/>
  <c r="W41" i="3" s="1"/>
  <c r="CE46" i="3"/>
  <c r="DU46" i="3"/>
  <c r="CB46" i="3"/>
  <c r="DT46" i="3" s="1"/>
  <c r="V42" i="3"/>
  <c r="J42" i="3" s="1"/>
  <c r="W47" i="3"/>
  <c r="AR47" i="3"/>
  <c r="DN47" i="3" s="1"/>
  <c r="AG47" i="3"/>
  <c r="AF47" i="3" s="1"/>
  <c r="DM47" i="3"/>
  <c r="BU42" i="3"/>
  <c r="DM42" i="3" s="1"/>
  <c r="BO47" i="3"/>
  <c r="BI47" i="3" s="1"/>
  <c r="AD39" i="3"/>
  <c r="Z39" i="3" s="1"/>
  <c r="Z49" i="3"/>
  <c r="R40" i="3"/>
  <c r="N50" i="3"/>
  <c r="BP50" i="3"/>
  <c r="BN50" i="3"/>
  <c r="BJ50" i="3" s="1"/>
  <c r="DL50" i="3"/>
  <c r="CB51" i="3"/>
  <c r="DX51" i="3"/>
  <c r="CF41" i="3"/>
  <c r="DX41" i="3" s="1"/>
  <c r="DR52" i="3"/>
  <c r="AR52" i="3"/>
  <c r="DN52" i="3" s="1"/>
  <c r="AV42" i="3"/>
  <c r="N54" i="3"/>
  <c r="R53" i="3"/>
  <c r="N53" i="3" s="1"/>
  <c r="Z54" i="3"/>
  <c r="AD53" i="3"/>
  <c r="Z53" i="3" s="1"/>
  <c r="DX54" i="3"/>
  <c r="CF53" i="3"/>
  <c r="CB53" i="3" s="1"/>
  <c r="N55" i="3"/>
  <c r="L55" i="3"/>
  <c r="H55" i="3" s="1"/>
  <c r="CB55" i="3"/>
  <c r="DT55" i="3" s="1"/>
  <c r="DX55" i="3"/>
  <c r="DX56" i="3"/>
  <c r="CB56" i="3"/>
  <c r="DT56" i="3" s="1"/>
  <c r="DR57" i="3"/>
  <c r="AJ57" i="3"/>
  <c r="AF57" i="3" s="1"/>
  <c r="BP57" i="3"/>
  <c r="DH57" i="3" s="1"/>
  <c r="DL57" i="3"/>
  <c r="DR59" i="3"/>
  <c r="AV58" i="3"/>
  <c r="AR58" i="3" s="1"/>
  <c r="CF58" i="3"/>
  <c r="CB58" i="3" s="1"/>
  <c r="DX59" i="3"/>
  <c r="CB59" i="3"/>
  <c r="L60" i="3"/>
  <c r="H60" i="3" s="1"/>
  <c r="N60" i="3"/>
  <c r="AJ60" i="3"/>
  <c r="AF60" i="3" s="1"/>
  <c r="DR60" i="3"/>
  <c r="DX60" i="3"/>
  <c r="CB60" i="3"/>
  <c r="DT60" i="3" s="1"/>
  <c r="DR61" i="3"/>
  <c r="AJ61" i="3"/>
  <c r="AF61" i="3" s="1"/>
  <c r="L62" i="3"/>
  <c r="H62" i="3" s="1"/>
  <c r="N62" i="3"/>
  <c r="DR62" i="3"/>
  <c r="AJ62" i="3"/>
  <c r="AF62" i="3" s="1"/>
  <c r="BP62" i="3"/>
  <c r="DH62" i="3" s="1"/>
  <c r="DL62" i="3"/>
  <c r="L64" i="3"/>
  <c r="H64" i="3" s="1"/>
  <c r="R63" i="3"/>
  <c r="N63" i="3" s="1"/>
  <c r="BP65" i="3"/>
  <c r="DH65" i="3" s="1"/>
  <c r="DL65" i="3"/>
  <c r="BN66" i="3"/>
  <c r="BJ66" i="3" s="1"/>
  <c r="DL66" i="3"/>
  <c r="BN67" i="3"/>
  <c r="DL67" i="3"/>
  <c r="CR6" i="3"/>
  <c r="V8" i="3"/>
  <c r="O9" i="3"/>
  <c r="AD9" i="3"/>
  <c r="Z9" i="3" s="1"/>
  <c r="AZ10" i="3"/>
  <c r="BA10" i="3" s="1"/>
  <c r="DV11" i="3"/>
  <c r="DH23" i="3"/>
  <c r="DX27" i="3"/>
  <c r="DD30" i="3"/>
  <c r="DE30" i="3" s="1"/>
  <c r="DO47" i="3"/>
  <c r="BT48" i="3"/>
  <c r="BP48" i="3" s="1"/>
  <c r="CF48" i="3"/>
  <c r="CB48" i="3" s="1"/>
  <c r="AR51" i="3"/>
  <c r="DN51" i="3" s="1"/>
  <c r="DL52" i="3"/>
  <c r="DR55" i="3"/>
  <c r="DH60" i="3"/>
  <c r="BP66" i="3"/>
  <c r="DH66" i="3" s="1"/>
  <c r="BP67" i="3"/>
  <c r="BV11" i="3"/>
  <c r="BW10" i="3"/>
  <c r="BV10" i="3" s="1"/>
  <c r="M12" i="3"/>
  <c r="DI13" i="3"/>
  <c r="AL13" i="3"/>
  <c r="DY16" i="3"/>
  <c r="CG15" i="3"/>
  <c r="AW6" i="3"/>
  <c r="CU6" i="3"/>
  <c r="CW6" i="3" s="1"/>
  <c r="S7" i="3"/>
  <c r="AO7" i="3"/>
  <c r="BT7" i="3"/>
  <c r="AM8" i="3"/>
  <c r="DI8" i="3" s="1"/>
  <c r="AV8" i="3"/>
  <c r="DR8" i="3" s="1"/>
  <c r="S9" i="3"/>
  <c r="BL9" i="3"/>
  <c r="BF9" i="3" s="1"/>
  <c r="AT10" i="3"/>
  <c r="BN10" i="3"/>
  <c r="BH10" i="3" s="1"/>
  <c r="AL11" i="3"/>
  <c r="DH11" i="3" s="1"/>
  <c r="F12" i="3"/>
  <c r="BV13" i="3"/>
  <c r="DN13" i="3" s="1"/>
  <c r="DS16" i="3"/>
  <c r="L19" i="3"/>
  <c r="H19" i="3" s="1"/>
  <c r="DL21" i="3"/>
  <c r="DX21" i="3"/>
  <c r="DE21" i="3"/>
  <c r="DC20" i="3"/>
  <c r="DE20" i="3" s="1"/>
  <c r="CB24" i="3"/>
  <c r="DT24" i="3" s="1"/>
  <c r="DL27" i="3"/>
  <c r="DR28" i="3"/>
  <c r="BN28" i="3"/>
  <c r="BJ28" i="3" s="1"/>
  <c r="BN29" i="3"/>
  <c r="BJ29" i="3" s="1"/>
  <c r="BP32" i="3"/>
  <c r="DH32" i="3" s="1"/>
  <c r="N33" i="3"/>
  <c r="BR38" i="3"/>
  <c r="AY38" i="3"/>
  <c r="BT40" i="3"/>
  <c r="AD41" i="3"/>
  <c r="O42" i="3"/>
  <c r="N42" i="3" s="1"/>
  <c r="AS42" i="3"/>
  <c r="AZ42" i="3"/>
  <c r="W44" i="3"/>
  <c r="AH44" i="3"/>
  <c r="M46" i="3"/>
  <c r="BK46" i="3"/>
  <c r="CK46" i="3"/>
  <c r="CK47" i="3"/>
  <c r="AD48" i="3"/>
  <c r="Z48" i="3" s="1"/>
  <c r="AV48" i="3"/>
  <c r="AR48" i="3" s="1"/>
  <c r="CR48" i="3"/>
  <c r="CN48" i="3" s="1"/>
  <c r="DX49" i="3"/>
  <c r="BN49" i="3"/>
  <c r="BJ49" i="3" s="1"/>
  <c r="CB49" i="3"/>
  <c r="DE49" i="3"/>
  <c r="DD48" i="3"/>
  <c r="DE48" i="3" s="1"/>
  <c r="BP51" i="3"/>
  <c r="N52" i="3"/>
  <c r="AV53" i="3"/>
  <c r="AR53" i="3" s="1"/>
  <c r="L54" i="3"/>
  <c r="H54" i="3" s="1"/>
  <c r="DE54" i="3"/>
  <c r="DC53" i="3"/>
  <c r="DE53" i="3" s="1"/>
  <c r="N56" i="3"/>
  <c r="L57" i="3"/>
  <c r="H57" i="3" s="1"/>
  <c r="CB57" i="3"/>
  <c r="DT57" i="3" s="1"/>
  <c r="AD63" i="3"/>
  <c r="Z63" i="3" s="1"/>
  <c r="N64" i="3"/>
  <c r="DL64" i="3"/>
  <c r="CN64" i="3"/>
  <c r="L65" i="3"/>
  <c r="H65" i="3" s="1"/>
  <c r="AR67" i="3"/>
  <c r="DN67" i="3" s="1"/>
  <c r="DX67" i="3"/>
  <c r="M14" i="3"/>
  <c r="AH14" i="3"/>
  <c r="AK14" i="3"/>
  <c r="AJ16" i="3"/>
  <c r="AF16" i="3" s="1"/>
  <c r="DL17" i="3"/>
  <c r="P6" i="3"/>
  <c r="P5" i="3" s="1"/>
  <c r="V6" i="3"/>
  <c r="AD6" i="3"/>
  <c r="BU6" i="3"/>
  <c r="CC6" i="3"/>
  <c r="CM6" i="3"/>
  <c r="AD7" i="3"/>
  <c r="BU7" i="3"/>
  <c r="DM7" i="3" s="1"/>
  <c r="CF7" i="3"/>
  <c r="S8" i="3"/>
  <c r="BU8" i="3"/>
  <c r="DM8" i="3" s="1"/>
  <c r="CF8" i="3"/>
  <c r="AM9" i="3"/>
  <c r="AO9" i="3" s="1"/>
  <c r="AS9" i="3"/>
  <c r="BT9" i="3"/>
  <c r="DL9" i="3" s="1"/>
  <c r="DI11" i="3"/>
  <c r="DF10" i="3"/>
  <c r="AL12" i="3"/>
  <c r="CB13" i="3"/>
  <c r="DT13" i="3" s="1"/>
  <c r="CB16" i="3"/>
  <c r="N19" i="3"/>
  <c r="CN19" i="3"/>
  <c r="R20" i="3"/>
  <c r="N20" i="3" s="1"/>
  <c r="Z21" i="3"/>
  <c r="DL22" i="3"/>
  <c r="AR26" i="3"/>
  <c r="DN26" i="3" s="1"/>
  <c r="DX29" i="3"/>
  <c r="BP29" i="3"/>
  <c r="N32" i="3"/>
  <c r="DE33" i="3"/>
  <c r="AJ34" i="3"/>
  <c r="AF34" i="3" s="1"/>
  <c r="AP38" i="3"/>
  <c r="O39" i="3"/>
  <c r="V39" i="3"/>
  <c r="CC39" i="3"/>
  <c r="CB39" i="3" s="1"/>
  <c r="CJ39" i="3"/>
  <c r="CK39" i="3" s="1"/>
  <c r="AS40" i="3"/>
  <c r="AZ40" i="3"/>
  <c r="R41" i="3"/>
  <c r="CC41" i="3"/>
  <c r="CE41" i="3" s="1"/>
  <c r="J44" i="3"/>
  <c r="BA44" i="3"/>
  <c r="CB44" i="3"/>
  <c r="DT44" i="3" s="1"/>
  <c r="AR45" i="3"/>
  <c r="DU45" i="3"/>
  <c r="DL49" i="3"/>
  <c r="BP49" i="3"/>
  <c r="CB50" i="3"/>
  <c r="DE50" i="3"/>
  <c r="CB52" i="3"/>
  <c r="CB54" i="3"/>
  <c r="DT54" i="3" s="1"/>
  <c r="BP56" i="3"/>
  <c r="DH56" i="3" s="1"/>
  <c r="L61" i="3"/>
  <c r="H61" i="3" s="1"/>
  <c r="DL61" i="3"/>
  <c r="DX61" i="3"/>
  <c r="BP8" i="3"/>
  <c r="DH17" i="3"/>
  <c r="AK20" i="3"/>
  <c r="AC39" i="3"/>
  <c r="DX42" i="3"/>
  <c r="DE59" i="3"/>
  <c r="AA6" i="3"/>
  <c r="AC11" i="3"/>
  <c r="BL11" i="3"/>
  <c r="BF11" i="3" s="1"/>
  <c r="AO12" i="3"/>
  <c r="DY12" i="3"/>
  <c r="BL13" i="3"/>
  <c r="BF13" i="3" s="1"/>
  <c r="DL18" i="3"/>
  <c r="DL19" i="3"/>
  <c r="AJ21" i="3"/>
  <c r="AF21" i="3" s="1"/>
  <c r="DX22" i="3"/>
  <c r="DL23" i="3"/>
  <c r="DE26" i="3"/>
  <c r="CT40" i="3"/>
  <c r="M11" i="3"/>
  <c r="DY11" i="3"/>
  <c r="AA7" i="3"/>
  <c r="AC7" i="3" s="1"/>
  <c r="Z12" i="3"/>
  <c r="DS12" i="3"/>
  <c r="AK12" i="3"/>
  <c r="BL12" i="3"/>
  <c r="BF12" i="3" s="1"/>
  <c r="M13" i="3"/>
  <c r="DY13" i="3"/>
  <c r="DX17" i="3"/>
  <c r="BZ6" i="3"/>
  <c r="BV6" i="3" s="1"/>
  <c r="CO6" i="3"/>
  <c r="CX6" i="3"/>
  <c r="AP7" i="3"/>
  <c r="AL7" i="3" s="1"/>
  <c r="AW7" i="3"/>
  <c r="DS7" i="3" s="1"/>
  <c r="X8" i="3"/>
  <c r="AP8" i="3"/>
  <c r="AW8" i="3"/>
  <c r="DS8" i="3" s="1"/>
  <c r="BX8" i="3"/>
  <c r="BL8" i="3" s="1"/>
  <c r="CO8" i="3"/>
  <c r="CQ8" i="3" s="1"/>
  <c r="AW9" i="3"/>
  <c r="DS9" i="3" s="1"/>
  <c r="BQ9" i="3"/>
  <c r="BQ10" i="3"/>
  <c r="BP10" i="3" s="1"/>
  <c r="CO10" i="3"/>
  <c r="CN10" i="3" s="1"/>
  <c r="BP12" i="3"/>
  <c r="CQ12" i="3"/>
  <c r="CQ13" i="3"/>
  <c r="CT16" i="3"/>
  <c r="M25" i="3"/>
  <c r="BG30" i="3"/>
  <c r="DE32" i="3"/>
  <c r="DL39" i="3"/>
  <c r="AX43" i="3"/>
  <c r="DC63" i="3"/>
  <c r="DE23" i="3"/>
  <c r="CY38" i="3"/>
  <c r="DH46" i="3"/>
  <c r="BG53" i="3"/>
  <c r="DH47" i="3"/>
  <c r="DE55" i="3"/>
  <c r="M58" i="3"/>
  <c r="BG63" i="3"/>
  <c r="DT65" i="3"/>
  <c r="DE67" i="3"/>
  <c r="CJ5" i="3"/>
  <c r="CV5" i="3"/>
  <c r="CT8" i="3"/>
  <c r="AL40" i="3"/>
  <c r="BV40" i="3"/>
  <c r="T42" i="3"/>
  <c r="T43" i="3"/>
  <c r="CE13" i="3"/>
  <c r="DU13" i="3"/>
  <c r="BL7" i="3"/>
  <c r="AX25" i="3"/>
  <c r="AO13" i="3"/>
  <c r="AH13" i="3"/>
  <c r="O6" i="3"/>
  <c r="AS6" i="3"/>
  <c r="BQ6" i="3"/>
  <c r="CG6" i="3"/>
  <c r="CS6" i="3"/>
  <c r="O7" i="3"/>
  <c r="AS7" i="3"/>
  <c r="AU7" i="3" s="1"/>
  <c r="BQ7" i="3"/>
  <c r="CC7" i="3"/>
  <c r="CE7" i="3" s="1"/>
  <c r="CO7" i="3"/>
  <c r="CQ7" i="3" s="1"/>
  <c r="O8" i="3"/>
  <c r="AA8" i="3"/>
  <c r="AS8" i="3"/>
  <c r="AU8" i="3" s="1"/>
  <c r="BS8" i="3"/>
  <c r="CW8" i="3"/>
  <c r="AC9" i="3"/>
  <c r="CE9" i="3"/>
  <c r="J10" i="3"/>
  <c r="S10" i="3"/>
  <c r="M10" i="3" s="1"/>
  <c r="AW10" i="3"/>
  <c r="BU10" i="3"/>
  <c r="CG10" i="3"/>
  <c r="AH11" i="3"/>
  <c r="DU11" i="3"/>
  <c r="AH12" i="3"/>
  <c r="DU12" i="3"/>
  <c r="AK13" i="3"/>
  <c r="BP13" i="3"/>
  <c r="U38" i="3"/>
  <c r="CI38" i="3"/>
  <c r="AX40" i="3"/>
  <c r="DJ41" i="3"/>
  <c r="BY41" i="3"/>
  <c r="BL41" i="3"/>
  <c r="CW41" i="3"/>
  <c r="DH22" i="3"/>
  <c r="DH24" i="3"/>
  <c r="DJ39" i="3"/>
  <c r="DJ40" i="3"/>
  <c r="DP41" i="3"/>
  <c r="AX42" i="3"/>
  <c r="J43" i="3"/>
  <c r="AK43" i="3"/>
  <c r="BI52" i="3"/>
  <c r="DT67" i="3"/>
  <c r="CK42" i="3"/>
  <c r="W43" i="3"/>
  <c r="CH43" i="3"/>
  <c r="DH55" i="3"/>
  <c r="AK58" i="3"/>
  <c r="DH61" i="3"/>
  <c r="DJ7" i="3"/>
  <c r="DV7" i="3"/>
  <c r="DV8" i="3"/>
  <c r="O10" i="3"/>
  <c r="AA10" i="3"/>
  <c r="Z10" i="3" s="1"/>
  <c r="J11" i="3"/>
  <c r="N11" i="3"/>
  <c r="Z11" i="3"/>
  <c r="AG11" i="3"/>
  <c r="AK11" i="3"/>
  <c r="AO11" i="3"/>
  <c r="AR11" i="3"/>
  <c r="BA11" i="3"/>
  <c r="BK11" i="3"/>
  <c r="DN14" i="3"/>
  <c r="DT17" i="3"/>
  <c r="DT22" i="3"/>
  <c r="AU11" i="3"/>
  <c r="BY11" i="3"/>
  <c r="CK11" i="3"/>
  <c r="CW11" i="3"/>
  <c r="Q12" i="3"/>
  <c r="AC12" i="3"/>
  <c r="AU12" i="3"/>
  <c r="BY12" i="3"/>
  <c r="CK12" i="3"/>
  <c r="CW12" i="3"/>
  <c r="DJ12" i="3"/>
  <c r="DM12" i="3"/>
  <c r="DO12" i="3"/>
  <c r="DV12" i="3"/>
  <c r="Q13" i="3"/>
  <c r="AC13" i="3"/>
  <c r="AU13" i="3"/>
  <c r="BY13" i="3"/>
  <c r="CK13" i="3"/>
  <c r="CW13" i="3"/>
  <c r="DJ13" i="3"/>
  <c r="DM13" i="3"/>
  <c r="DO13" i="3"/>
  <c r="DV13" i="3"/>
  <c r="Q14" i="3"/>
  <c r="AC14" i="3"/>
  <c r="AU14" i="3"/>
  <c r="BY14" i="3"/>
  <c r="CK14" i="3"/>
  <c r="CW14" i="3"/>
  <c r="DJ14" i="3"/>
  <c r="DM14" i="3"/>
  <c r="DO14" i="3"/>
  <c r="DV14" i="3"/>
  <c r="DE16" i="3"/>
  <c r="DL16" i="3"/>
  <c r="DX16" i="3"/>
  <c r="DE17" i="3"/>
  <c r="DE18" i="3"/>
  <c r="DX18" i="3"/>
  <c r="S20" i="3"/>
  <c r="M20" i="3" s="1"/>
  <c r="X20" i="3"/>
  <c r="T20" i="3" s="1"/>
  <c r="AK21" i="3"/>
  <c r="AR21" i="3"/>
  <c r="DN21" i="3" s="1"/>
  <c r="BN21" i="3"/>
  <c r="AK22" i="3"/>
  <c r="AR22" i="3"/>
  <c r="DN22" i="3" s="1"/>
  <c r="BN22" i="3"/>
  <c r="AK23" i="3"/>
  <c r="AR23" i="3"/>
  <c r="DN23" i="3" s="1"/>
  <c r="BN23" i="3"/>
  <c r="AK24" i="3"/>
  <c r="AR24" i="3"/>
  <c r="DN24" i="3" s="1"/>
  <c r="BN24" i="3"/>
  <c r="R25" i="3"/>
  <c r="AD25" i="3"/>
  <c r="Z25" i="3" s="1"/>
  <c r="L26" i="3"/>
  <c r="AJ26" i="3"/>
  <c r="AL26" i="3"/>
  <c r="AX26" i="3"/>
  <c r="L27" i="3"/>
  <c r="AJ27" i="3"/>
  <c r="AL27" i="3"/>
  <c r="DH27" i="3" s="1"/>
  <c r="AX27" i="3"/>
  <c r="DT27" i="3" s="1"/>
  <c r="BO27" i="3"/>
  <c r="J12" i="3"/>
  <c r="AG12" i="3"/>
  <c r="AF12" i="3" s="1"/>
  <c r="BK12" i="3"/>
  <c r="J13" i="3"/>
  <c r="AG13" i="3"/>
  <c r="BK13" i="3"/>
  <c r="J14" i="3"/>
  <c r="AG14" i="3"/>
  <c r="BK14" i="3"/>
  <c r="S15" i="3"/>
  <c r="M15" i="3" s="1"/>
  <c r="X15" i="3"/>
  <c r="T15" i="3" s="1"/>
  <c r="AQ15" i="3"/>
  <c r="AV15" i="3"/>
  <c r="AR15" i="3" s="1"/>
  <c r="BC15" i="3"/>
  <c r="AK16" i="3"/>
  <c r="AR16" i="3"/>
  <c r="DN16" i="3" s="1"/>
  <c r="BN16" i="3"/>
  <c r="AK17" i="3"/>
  <c r="AR17" i="3"/>
  <c r="DN17" i="3" s="1"/>
  <c r="BN17" i="3"/>
  <c r="AK18" i="3"/>
  <c r="AR18" i="3"/>
  <c r="BN18" i="3"/>
  <c r="AK19" i="3"/>
  <c r="AR19" i="3"/>
  <c r="DN19" i="3" s="1"/>
  <c r="BN19" i="3"/>
  <c r="N28" i="3"/>
  <c r="L28" i="3"/>
  <c r="AJ28" i="3"/>
  <c r="AL28" i="3"/>
  <c r="DH28" i="3" s="1"/>
  <c r="AX28" i="3"/>
  <c r="L29" i="3"/>
  <c r="AJ29" i="3"/>
  <c r="AL29" i="3"/>
  <c r="AX29" i="3"/>
  <c r="DT29" i="3" s="1"/>
  <c r="BO29" i="3"/>
  <c r="BV29" i="3"/>
  <c r="S30" i="3"/>
  <c r="M30" i="3" s="1"/>
  <c r="X30" i="3"/>
  <c r="T30" i="3" s="1"/>
  <c r="AQ30" i="3"/>
  <c r="AV30" i="3"/>
  <c r="AR30" i="3" s="1"/>
  <c r="BC30" i="3"/>
  <c r="BN30" i="3"/>
  <c r="AK31" i="3"/>
  <c r="AR31" i="3"/>
  <c r="BN31" i="3"/>
  <c r="BP31" i="3"/>
  <c r="DH31" i="3" s="1"/>
  <c r="CB31" i="3"/>
  <c r="DT31" i="3" s="1"/>
  <c r="AK32" i="3"/>
  <c r="AR32" i="3"/>
  <c r="DN32" i="3" s="1"/>
  <c r="BN32" i="3"/>
  <c r="CB32" i="3"/>
  <c r="DT32" i="3" s="1"/>
  <c r="AK33" i="3"/>
  <c r="AR33" i="3"/>
  <c r="DN33" i="3" s="1"/>
  <c r="BN33" i="3"/>
  <c r="CB33" i="3"/>
  <c r="DT33" i="3" s="1"/>
  <c r="AK34" i="3"/>
  <c r="AR34" i="3"/>
  <c r="DN34" i="3" s="1"/>
  <c r="BN34" i="3"/>
  <c r="BP34" i="3"/>
  <c r="DH34" i="3" s="1"/>
  <c r="CB34" i="3"/>
  <c r="DT34" i="3" s="1"/>
  <c r="AO40" i="3"/>
  <c r="AU44" i="3"/>
  <c r="DJ44" i="3"/>
  <c r="DO44" i="3"/>
  <c r="DV44" i="3"/>
  <c r="AU45" i="3"/>
  <c r="DJ45" i="3"/>
  <c r="DO45" i="3"/>
  <c r="DV45" i="3"/>
  <c r="AU46" i="3"/>
  <c r="DJ46" i="3"/>
  <c r="DV46" i="3"/>
  <c r="AU47" i="3"/>
  <c r="CN47" i="3"/>
  <c r="DJ47" i="3"/>
  <c r="DV47" i="3"/>
  <c r="R48" i="3"/>
  <c r="L49" i="3"/>
  <c r="AJ49" i="3"/>
  <c r="AL49" i="3"/>
  <c r="AX49" i="3"/>
  <c r="L50" i="3"/>
  <c r="AJ50" i="3"/>
  <c r="AL50" i="3"/>
  <c r="AX50" i="3"/>
  <c r="L51" i="3"/>
  <c r="AJ51" i="3"/>
  <c r="AL51" i="3"/>
  <c r="AX51" i="3"/>
  <c r="L52" i="3"/>
  <c r="AJ52" i="3"/>
  <c r="AL52" i="3"/>
  <c r="AX52" i="3"/>
  <c r="S53" i="3"/>
  <c r="M53" i="3" s="1"/>
  <c r="X53" i="3"/>
  <c r="T53" i="3" s="1"/>
  <c r="AQ53" i="3"/>
  <c r="AK53" i="3" s="1"/>
  <c r="AK54" i="3"/>
  <c r="AR54" i="3"/>
  <c r="BN54" i="3"/>
  <c r="AK55" i="3"/>
  <c r="AR55" i="3"/>
  <c r="DN55" i="3" s="1"/>
  <c r="BN55" i="3"/>
  <c r="AK56" i="3"/>
  <c r="AR56" i="3"/>
  <c r="DN56" i="3" s="1"/>
  <c r="BN56" i="3"/>
  <c r="AK57" i="3"/>
  <c r="AR57" i="3"/>
  <c r="DN57" i="3" s="1"/>
  <c r="BN57" i="3"/>
  <c r="R58" i="3"/>
  <c r="AD58" i="3"/>
  <c r="Z58" i="3" s="1"/>
  <c r="AP58" i="3"/>
  <c r="L59" i="3"/>
  <c r="AJ59" i="3"/>
  <c r="AF59" i="3" s="1"/>
  <c r="AL59" i="3"/>
  <c r="AX59" i="3"/>
  <c r="M60" i="3"/>
  <c r="DT61" i="3"/>
  <c r="DT62" i="3"/>
  <c r="DM60" i="3"/>
  <c r="AK60" i="3"/>
  <c r="AR60" i="3"/>
  <c r="DN60" i="3" s="1"/>
  <c r="BN60" i="3"/>
  <c r="AK61" i="3"/>
  <c r="AR61" i="3"/>
  <c r="DN61" i="3" s="1"/>
  <c r="BN61" i="3"/>
  <c r="AK62" i="3"/>
  <c r="AR62" i="3"/>
  <c r="DN62" i="3" s="1"/>
  <c r="BN62" i="3"/>
  <c r="T64" i="3"/>
  <c r="X63" i="3"/>
  <c r="DM64" i="3"/>
  <c r="AK64" i="3"/>
  <c r="AQ63" i="3"/>
  <c r="DE64" i="3"/>
  <c r="DM65" i="3"/>
  <c r="AK65" i="3"/>
  <c r="BP63" i="3"/>
  <c r="M64" i="3"/>
  <c r="S63" i="3"/>
  <c r="M63" i="3" s="1"/>
  <c r="DR64" i="3"/>
  <c r="AR64" i="3"/>
  <c r="DN64" i="3" s="1"/>
  <c r="AV63" i="3"/>
  <c r="AR63" i="3" s="1"/>
  <c r="DY64" i="3"/>
  <c r="BC63" i="3"/>
  <c r="BP64" i="3"/>
  <c r="DH64" i="3" s="1"/>
  <c r="BN64" i="3"/>
  <c r="DX64" i="3"/>
  <c r="DR65" i="3"/>
  <c r="AR65" i="3"/>
  <c r="DN65" i="3" s="1"/>
  <c r="L67" i="3"/>
  <c r="AJ67" i="3"/>
  <c r="AF67" i="3" s="1"/>
  <c r="AL67" i="3"/>
  <c r="BN65" i="3"/>
  <c r="F43" i="3" l="1"/>
  <c r="BW38" i="3"/>
  <c r="DR39" i="3"/>
  <c r="CN41" i="3"/>
  <c r="DM39" i="3"/>
  <c r="DN54" i="3"/>
  <c r="AX39" i="3"/>
  <c r="DT39" i="3" s="1"/>
  <c r="DX39" i="3"/>
  <c r="AX6" i="3"/>
  <c r="CT41" i="3"/>
  <c r="BP41" i="3"/>
  <c r="DI41" i="3"/>
  <c r="DK41" i="3" s="1"/>
  <c r="CN39" i="3"/>
  <c r="CO38" i="3"/>
  <c r="CQ38" i="3" s="1"/>
  <c r="CY5" i="3"/>
  <c r="DI40" i="3"/>
  <c r="DK40" i="3" s="1"/>
  <c r="DN49" i="3"/>
  <c r="CQ43" i="3"/>
  <c r="CN40" i="3"/>
  <c r="CW39" i="3"/>
  <c r="BH52" i="3"/>
  <c r="BD52" i="3" s="1"/>
  <c r="AC43" i="3"/>
  <c r="BV43" i="3"/>
  <c r="DX6" i="3"/>
  <c r="DY30" i="3"/>
  <c r="CH8" i="3"/>
  <c r="DM25" i="3"/>
  <c r="DN31" i="3"/>
  <c r="G22" i="3"/>
  <c r="DR42" i="3"/>
  <c r="BV42" i="3"/>
  <c r="DX7" i="3"/>
  <c r="AI45" i="3"/>
  <c r="CQ42" i="3"/>
  <c r="K47" i="3"/>
  <c r="AU43" i="3"/>
  <c r="AQ38" i="3"/>
  <c r="DM30" i="3"/>
  <c r="DN18" i="3"/>
  <c r="DG47" i="3"/>
  <c r="CW43" i="3"/>
  <c r="DM40" i="3"/>
  <c r="DJ42" i="3"/>
  <c r="DJ38" i="3" s="1"/>
  <c r="CQ6" i="3"/>
  <c r="X38" i="3"/>
  <c r="T38" i="3" s="1"/>
  <c r="AC6" i="3"/>
  <c r="AC40" i="3"/>
  <c r="BH29" i="3"/>
  <c r="BD29" i="3" s="1"/>
  <c r="G61" i="3"/>
  <c r="DG60" i="3"/>
  <c r="DV6" i="3"/>
  <c r="DV5" i="3" s="1"/>
  <c r="AM38" i="3"/>
  <c r="AL38" i="3" s="1"/>
  <c r="DO9" i="3"/>
  <c r="DQ9" i="3" s="1"/>
  <c r="W6" i="3"/>
  <c r="Z41" i="3"/>
  <c r="AR43" i="3"/>
  <c r="DG61" i="3"/>
  <c r="DG56" i="3"/>
  <c r="G34" i="3"/>
  <c r="G23" i="3"/>
  <c r="AG43" i="3"/>
  <c r="AF43" i="3" s="1"/>
  <c r="DK8" i="3"/>
  <c r="BO43" i="3"/>
  <c r="BI43" i="3" s="1"/>
  <c r="G43" i="3" s="1"/>
  <c r="AE5" i="3"/>
  <c r="BP6" i="3"/>
  <c r="DH6" i="3" s="1"/>
  <c r="DG34" i="3"/>
  <c r="DG27" i="3"/>
  <c r="DM20" i="3"/>
  <c r="DT26" i="3"/>
  <c r="BP7" i="3"/>
  <c r="DH7" i="3" s="1"/>
  <c r="CA38" i="3"/>
  <c r="DS43" i="3"/>
  <c r="BH51" i="3"/>
  <c r="BD51" i="3" s="1"/>
  <c r="DS40" i="3"/>
  <c r="BV9" i="3"/>
  <c r="DY41" i="3"/>
  <c r="G67" i="3"/>
  <c r="G66" i="3"/>
  <c r="DG57" i="3"/>
  <c r="DY53" i="3"/>
  <c r="G50" i="3"/>
  <c r="CV38" i="3"/>
  <c r="DG49" i="3"/>
  <c r="DH59" i="3"/>
  <c r="G16" i="3"/>
  <c r="I41" i="3"/>
  <c r="T6" i="3"/>
  <c r="BO48" i="3"/>
  <c r="BI48" i="3" s="1"/>
  <c r="G48" i="3" s="1"/>
  <c r="DY40" i="3"/>
  <c r="BC38" i="3"/>
  <c r="Y38" i="3"/>
  <c r="DM48" i="3"/>
  <c r="DP43" i="3"/>
  <c r="G33" i="3"/>
  <c r="G32" i="3"/>
  <c r="G24" i="3"/>
  <c r="CS38" i="3"/>
  <c r="G65" i="3"/>
  <c r="G21" i="3"/>
  <c r="AK10" i="3"/>
  <c r="DN45" i="3"/>
  <c r="DS53" i="3"/>
  <c r="DG28" i="3"/>
  <c r="AO8" i="3"/>
  <c r="DW46" i="3"/>
  <c r="BH26" i="3"/>
  <c r="BD26" i="3" s="1"/>
  <c r="DT11" i="3"/>
  <c r="Z42" i="3"/>
  <c r="DG45" i="3"/>
  <c r="DT12" i="3"/>
  <c r="DG19" i="3"/>
  <c r="CH6" i="3"/>
  <c r="AX9" i="3"/>
  <c r="DT9" i="3" s="1"/>
  <c r="AY5" i="3"/>
  <c r="CM5" i="3"/>
  <c r="J40" i="3"/>
  <c r="DF26" i="3"/>
  <c r="DB26" i="3" s="1"/>
  <c r="DY9" i="3"/>
  <c r="DG9" i="3" s="1"/>
  <c r="DS30" i="3"/>
  <c r="DY20" i="3"/>
  <c r="DG67" i="3"/>
  <c r="DG66" i="3"/>
  <c r="DY58" i="3"/>
  <c r="DY42" i="3"/>
  <c r="DG42" i="3" s="1"/>
  <c r="DS48" i="3"/>
  <c r="G49" i="3"/>
  <c r="G28" i="3"/>
  <c r="DG26" i="3"/>
  <c r="DG24" i="3"/>
  <c r="DG23" i="3"/>
  <c r="U5" i="3"/>
  <c r="DI42" i="3"/>
  <c r="DG62" i="3"/>
  <c r="DS63" i="3"/>
  <c r="AR39" i="3"/>
  <c r="CU38" i="3"/>
  <c r="CT38" i="3" s="1"/>
  <c r="DQ44" i="3"/>
  <c r="DQ46" i="3"/>
  <c r="BL40" i="3"/>
  <c r="BF40" i="3" s="1"/>
  <c r="DW9" i="3"/>
  <c r="BL39" i="3"/>
  <c r="BQ38" i="3"/>
  <c r="BS38" i="3" s="1"/>
  <c r="DF56" i="3"/>
  <c r="DB56" i="3" s="1"/>
  <c r="BK40" i="3"/>
  <c r="BE40" i="3" s="1"/>
  <c r="BP42" i="3"/>
  <c r="DH42" i="3" s="1"/>
  <c r="AG41" i="3"/>
  <c r="DF24" i="3"/>
  <c r="DB24" i="3" s="1"/>
  <c r="DW47" i="3"/>
  <c r="CK8" i="3"/>
  <c r="BS42" i="3"/>
  <c r="AL41" i="3"/>
  <c r="S38" i="3"/>
  <c r="AW38" i="3"/>
  <c r="DG54" i="3"/>
  <c r="DG52" i="3"/>
  <c r="DG33" i="3"/>
  <c r="DG32" i="3"/>
  <c r="DS25" i="3"/>
  <c r="CI5" i="3"/>
  <c r="CK5" i="3" s="1"/>
  <c r="DG21" i="3"/>
  <c r="BS39" i="3"/>
  <c r="W8" i="3"/>
  <c r="DT19" i="3"/>
  <c r="DR7" i="3"/>
  <c r="BP39" i="3"/>
  <c r="DH39" i="3" s="1"/>
  <c r="BC5" i="3"/>
  <c r="DG31" i="3"/>
  <c r="DS58" i="3"/>
  <c r="DG50" i="3"/>
  <c r="CG38" i="3"/>
  <c r="DS20" i="3"/>
  <c r="BK43" i="3"/>
  <c r="BJ43" i="3" s="1"/>
  <c r="CL38" i="3"/>
  <c r="CH38" i="3" s="1"/>
  <c r="G62" i="3"/>
  <c r="DG29" i="3"/>
  <c r="DG14" i="3"/>
  <c r="BP43" i="3"/>
  <c r="DU41" i="3"/>
  <c r="DW41" i="3" s="1"/>
  <c r="DV39" i="3"/>
  <c r="DD39" i="3" s="1"/>
  <c r="DI39" i="3"/>
  <c r="DK39" i="3" s="1"/>
  <c r="BZ38" i="3"/>
  <c r="DY25" i="3"/>
  <c r="T8" i="3"/>
  <c r="DP42" i="3"/>
  <c r="DP38" i="3" s="1"/>
  <c r="DR15" i="3"/>
  <c r="DN15" i="3" s="1"/>
  <c r="CH9" i="3"/>
  <c r="DY63" i="3"/>
  <c r="DG65" i="3"/>
  <c r="G54" i="3"/>
  <c r="AO39" i="3"/>
  <c r="G31" i="3"/>
  <c r="DT28" i="3"/>
  <c r="DC14" i="3"/>
  <c r="DB14" i="3" s="1"/>
  <c r="BS43" i="3"/>
  <c r="DS41" i="3"/>
  <c r="DY39" i="3"/>
  <c r="DG22" i="3"/>
  <c r="AH41" i="3"/>
  <c r="CS5" i="3"/>
  <c r="AA38" i="3"/>
  <c r="AC38" i="3" s="1"/>
  <c r="CK6" i="3"/>
  <c r="DT16" i="3"/>
  <c r="DU8" i="3"/>
  <c r="DW8" i="3" s="1"/>
  <c r="BM46" i="3"/>
  <c r="BP40" i="3"/>
  <c r="DH40" i="3" s="1"/>
  <c r="DR41" i="3"/>
  <c r="DG46" i="3"/>
  <c r="DL6" i="3"/>
  <c r="DF34" i="3"/>
  <c r="DB34" i="3" s="1"/>
  <c r="AX8" i="3"/>
  <c r="DY43" i="3"/>
  <c r="BX38" i="3"/>
  <c r="BA41" i="3"/>
  <c r="BY40" i="3"/>
  <c r="Q39" i="3"/>
  <c r="G26" i="3"/>
  <c r="BA39" i="3"/>
  <c r="BM47" i="3"/>
  <c r="AH42" i="3"/>
  <c r="BM45" i="3"/>
  <c r="W40" i="3"/>
  <c r="DT59" i="3"/>
  <c r="DH50" i="3"/>
  <c r="DH49" i="3"/>
  <c r="K45" i="3"/>
  <c r="CE42" i="3"/>
  <c r="DQ11" i="3"/>
  <c r="BM44" i="3"/>
  <c r="DY7" i="3"/>
  <c r="DG7" i="3" s="1"/>
  <c r="DG59" i="3"/>
  <c r="DY48" i="3"/>
  <c r="DI43" i="3"/>
  <c r="DH43" i="3" s="1"/>
  <c r="DM53" i="3"/>
  <c r="CM38" i="3"/>
  <c r="G59" i="3"/>
  <c r="G51" i="3"/>
  <c r="DG51" i="3"/>
  <c r="DJ6" i="3"/>
  <c r="DJ5" i="3" s="1"/>
  <c r="DG55" i="3"/>
  <c r="BV39" i="3"/>
  <c r="CD38" i="3"/>
  <c r="AG42" i="3"/>
  <c r="DL25" i="3"/>
  <c r="DH25" i="3" s="1"/>
  <c r="DE63" i="3"/>
  <c r="F10" i="3"/>
  <c r="BE46" i="3"/>
  <c r="BD46" i="3" s="1"/>
  <c r="BA42" i="3"/>
  <c r="CW42" i="3"/>
  <c r="DV42" i="3"/>
  <c r="Q43" i="3"/>
  <c r="CB6" i="3"/>
  <c r="AO10" i="3"/>
  <c r="DG44" i="3"/>
  <c r="AO42" i="3"/>
  <c r="BY39" i="3"/>
  <c r="CT42" i="3"/>
  <c r="DL40" i="3"/>
  <c r="DF40" i="3" s="1"/>
  <c r="DE25" i="3"/>
  <c r="DX30" i="3"/>
  <c r="DT30" i="3" s="1"/>
  <c r="CQ9" i="3"/>
  <c r="AN5" i="3"/>
  <c r="DF23" i="3"/>
  <c r="DB23" i="3" s="1"/>
  <c r="Q6" i="3"/>
  <c r="AR40" i="3"/>
  <c r="DN40" i="3" s="1"/>
  <c r="CW9" i="3"/>
  <c r="CW10" i="3"/>
  <c r="DF33" i="3"/>
  <c r="DB33" i="3" s="1"/>
  <c r="DY8" i="3"/>
  <c r="DG8" i="3" s="1"/>
  <c r="DC47" i="3"/>
  <c r="DB47" i="3" s="1"/>
  <c r="R5" i="3"/>
  <c r="AI46" i="3"/>
  <c r="DX63" i="3"/>
  <c r="DT63" i="3" s="1"/>
  <c r="DH52" i="3"/>
  <c r="DT49" i="3"/>
  <c r="BJ46" i="3"/>
  <c r="DC45" i="3"/>
  <c r="DB45" i="3" s="1"/>
  <c r="AU39" i="3"/>
  <c r="DQ13" i="3"/>
  <c r="DU42" i="3"/>
  <c r="DU6" i="3"/>
  <c r="J6" i="3"/>
  <c r="BF43" i="3"/>
  <c r="V38" i="3"/>
  <c r="W38" i="3" s="1"/>
  <c r="AI44" i="3"/>
  <c r="DG17" i="3"/>
  <c r="DN11" i="3"/>
  <c r="AR8" i="3"/>
  <c r="DN8" i="3" s="1"/>
  <c r="J41" i="3"/>
  <c r="W42" i="3"/>
  <c r="BE45" i="3"/>
  <c r="BD45" i="3" s="1"/>
  <c r="BL6" i="3"/>
  <c r="BL5" i="3" s="1"/>
  <c r="DU39" i="3"/>
  <c r="DF28" i="3"/>
  <c r="DB28" i="3" s="1"/>
  <c r="DF32" i="3"/>
  <c r="DB32" i="3" s="1"/>
  <c r="DP10" i="3"/>
  <c r="BY8" i="3"/>
  <c r="BX5" i="3"/>
  <c r="AZ38" i="3"/>
  <c r="BA38" i="3" s="1"/>
  <c r="AH10" i="3"/>
  <c r="DR20" i="3"/>
  <c r="DN20" i="3" s="1"/>
  <c r="AR7" i="3"/>
  <c r="G14" i="3"/>
  <c r="Y5" i="3"/>
  <c r="BB5" i="3"/>
  <c r="DG16" i="3"/>
  <c r="G12" i="3"/>
  <c r="DF67" i="3"/>
  <c r="DB67" i="3" s="1"/>
  <c r="DH13" i="3"/>
  <c r="BA40" i="3"/>
  <c r="BM13" i="3"/>
  <c r="BI42" i="3"/>
  <c r="DD41" i="3"/>
  <c r="DO40" i="3"/>
  <c r="DQ40" i="3" s="1"/>
  <c r="BK41" i="3"/>
  <c r="BE41" i="3" s="1"/>
  <c r="AV5" i="3"/>
  <c r="DQ47" i="3"/>
  <c r="CE43" i="3"/>
  <c r="Q42" i="3"/>
  <c r="DL58" i="3"/>
  <c r="DH58" i="3" s="1"/>
  <c r="DF49" i="3"/>
  <c r="DB49" i="3" s="1"/>
  <c r="R38" i="3"/>
  <c r="DX8" i="3"/>
  <c r="CB41" i="3"/>
  <c r="DT41" i="3" s="1"/>
  <c r="DR30" i="3"/>
  <c r="DN30" i="3" s="1"/>
  <c r="DR6" i="3"/>
  <c r="DR9" i="3"/>
  <c r="DH16" i="3"/>
  <c r="AU40" i="3"/>
  <c r="DP8" i="3"/>
  <c r="DD8" i="3" s="1"/>
  <c r="DX9" i="3"/>
  <c r="AR9" i="3"/>
  <c r="CN7" i="3"/>
  <c r="DF19" i="3"/>
  <c r="DB19" i="3" s="1"/>
  <c r="DL63" i="3"/>
  <c r="DH63" i="3" s="1"/>
  <c r="DS15" i="3"/>
  <c r="DF55" i="3"/>
  <c r="DB55" i="3" s="1"/>
  <c r="CL5" i="3"/>
  <c r="DH12" i="3"/>
  <c r="Z7" i="3"/>
  <c r="DX20" i="3"/>
  <c r="DT20" i="3" s="1"/>
  <c r="DF22" i="3"/>
  <c r="DB22" i="3" s="1"/>
  <c r="DF29" i="3"/>
  <c r="DB29" i="3" s="1"/>
  <c r="DF17" i="3"/>
  <c r="DB17" i="3" s="1"/>
  <c r="BH50" i="3"/>
  <c r="BD50" i="3" s="1"/>
  <c r="DW45" i="3"/>
  <c r="DF31" i="3"/>
  <c r="DB31" i="3" s="1"/>
  <c r="BN20" i="3"/>
  <c r="BH20" i="3" s="1"/>
  <c r="BD20" i="3" s="1"/>
  <c r="DW13" i="3"/>
  <c r="DR53" i="3"/>
  <c r="DN53" i="3" s="1"/>
  <c r="BO42" i="3"/>
  <c r="DT42" i="3"/>
  <c r="DO39" i="3"/>
  <c r="BK39" i="3"/>
  <c r="BS10" i="3"/>
  <c r="J7" i="3"/>
  <c r="AR6" i="3"/>
  <c r="DN6" i="3" s="1"/>
  <c r="AJ48" i="3"/>
  <c r="AF48" i="3" s="1"/>
  <c r="DO41" i="3"/>
  <c r="DQ41" i="3" s="1"/>
  <c r="BZ5" i="3"/>
  <c r="M9" i="3"/>
  <c r="DF62" i="3"/>
  <c r="DB62" i="3" s="1"/>
  <c r="DF57" i="3"/>
  <c r="DB57" i="3" s="1"/>
  <c r="D46" i="3"/>
  <c r="DH14" i="3"/>
  <c r="BV7" i="3"/>
  <c r="AE38" i="3"/>
  <c r="DG11" i="3"/>
  <c r="DF60" i="3"/>
  <c r="DB60" i="3" s="1"/>
  <c r="DD9" i="3"/>
  <c r="DK11" i="3"/>
  <c r="CR5" i="3"/>
  <c r="BF10" i="3"/>
  <c r="S5" i="3"/>
  <c r="DM15" i="3"/>
  <c r="AM5" i="3"/>
  <c r="AJ53" i="3"/>
  <c r="AF53" i="3" s="1"/>
  <c r="BH28" i="3"/>
  <c r="BD28" i="3" s="1"/>
  <c r="AH43" i="3"/>
  <c r="BK42" i="3"/>
  <c r="BE42" i="3" s="1"/>
  <c r="K46" i="3"/>
  <c r="AG39" i="3"/>
  <c r="AI39" i="3" s="1"/>
  <c r="AU10" i="3"/>
  <c r="I7" i="3"/>
  <c r="CE6" i="3"/>
  <c r="Z6" i="3"/>
  <c r="AJ25" i="3"/>
  <c r="AF25" i="3" s="1"/>
  <c r="J39" i="3"/>
  <c r="CN8" i="3"/>
  <c r="AL8" i="3"/>
  <c r="DH8" i="3" s="1"/>
  <c r="DS10" i="3"/>
  <c r="M6" i="3"/>
  <c r="BY10" i="3"/>
  <c r="CW7" i="3"/>
  <c r="DF21" i="3"/>
  <c r="DB21" i="3" s="1"/>
  <c r="DY15" i="3"/>
  <c r="M7" i="3"/>
  <c r="DF52" i="3"/>
  <c r="DB52" i="3" s="1"/>
  <c r="BI8" i="3"/>
  <c r="DF66" i="3"/>
  <c r="DB66" i="3" s="1"/>
  <c r="DF59" i="3"/>
  <c r="DB59" i="3" s="1"/>
  <c r="DL53" i="3"/>
  <c r="DH53" i="3" s="1"/>
  <c r="DR48" i="3"/>
  <c r="DN48" i="3" s="1"/>
  <c r="D47" i="3"/>
  <c r="CJ38" i="3"/>
  <c r="CK38" i="3" s="1"/>
  <c r="DU43" i="3"/>
  <c r="DT43" i="3" s="1"/>
  <c r="BI6" i="3"/>
  <c r="DH29" i="3"/>
  <c r="I43" i="3"/>
  <c r="H43" i="3" s="1"/>
  <c r="AR41" i="3"/>
  <c r="DN41" i="3" s="1"/>
  <c r="M8" i="3"/>
  <c r="DF61" i="3"/>
  <c r="DB61" i="3" s="1"/>
  <c r="DX58" i="3"/>
  <c r="DT58" i="3" s="1"/>
  <c r="DM43" i="3"/>
  <c r="D45" i="3"/>
  <c r="BN53" i="3"/>
  <c r="BJ53" i="3" s="1"/>
  <c r="DT52" i="3"/>
  <c r="BN15" i="3"/>
  <c r="BJ15" i="3" s="1"/>
  <c r="DF18" i="3"/>
  <c r="DB18" i="3" s="1"/>
  <c r="DC12" i="3"/>
  <c r="DB12" i="3" s="1"/>
  <c r="DL20" i="3"/>
  <c r="DH20" i="3" s="1"/>
  <c r="DL41" i="3"/>
  <c r="CQ10" i="3"/>
  <c r="BN48" i="3"/>
  <c r="DD11" i="3"/>
  <c r="DC46" i="3"/>
  <c r="DB46" i="3" s="1"/>
  <c r="CB40" i="3"/>
  <c r="DT40" i="3" s="1"/>
  <c r="DR25" i="3"/>
  <c r="DN25" i="3" s="1"/>
  <c r="AG40" i="3"/>
  <c r="BO6" i="3"/>
  <c r="DL42" i="3"/>
  <c r="DI10" i="3"/>
  <c r="DH10" i="3" s="1"/>
  <c r="AL9" i="3"/>
  <c r="AG9" i="3"/>
  <c r="AD38" i="3"/>
  <c r="CU5" i="3"/>
  <c r="CW5" i="3" s="1"/>
  <c r="CN6" i="3"/>
  <c r="BJ67" i="3"/>
  <c r="BH67" i="3"/>
  <c r="BD67" i="3" s="1"/>
  <c r="DF50" i="3"/>
  <c r="DB50" i="3" s="1"/>
  <c r="DX25" i="3"/>
  <c r="DT25" i="3" s="1"/>
  <c r="BY7" i="3"/>
  <c r="BI45" i="3"/>
  <c r="BO40" i="3"/>
  <c r="BE44" i="3"/>
  <c r="BD44" i="3" s="1"/>
  <c r="BJ44" i="3"/>
  <c r="BP25" i="3"/>
  <c r="BN25" i="3"/>
  <c r="CE39" i="3"/>
  <c r="BW5" i="3"/>
  <c r="BE8" i="3"/>
  <c r="CT6" i="3"/>
  <c r="CX5" i="3"/>
  <c r="M41" i="3"/>
  <c r="DO42" i="3"/>
  <c r="AR42" i="3"/>
  <c r="N9" i="3"/>
  <c r="I9" i="3"/>
  <c r="N40" i="3"/>
  <c r="I40" i="3"/>
  <c r="BO15" i="3"/>
  <c r="BI15" i="3" s="1"/>
  <c r="DP6" i="3"/>
  <c r="AH6" i="3"/>
  <c r="AT5" i="3"/>
  <c r="AR10" i="3"/>
  <c r="AG10" i="3"/>
  <c r="AF10" i="3" s="1"/>
  <c r="BT5" i="3"/>
  <c r="BH66" i="3"/>
  <c r="BD66" i="3" s="1"/>
  <c r="DF54" i="3"/>
  <c r="DB54" i="3" s="1"/>
  <c r="DL30" i="3"/>
  <c r="DH30" i="3" s="1"/>
  <c r="AI14" i="3"/>
  <c r="AI13" i="3"/>
  <c r="AJ20" i="3"/>
  <c r="AF20" i="3" s="1"/>
  <c r="DG12" i="3"/>
  <c r="DF27" i="3"/>
  <c r="DB27" i="3" s="1"/>
  <c r="DW11" i="3"/>
  <c r="AI47" i="3"/>
  <c r="O38" i="3"/>
  <c r="Q40" i="3"/>
  <c r="AX38" i="3"/>
  <c r="G13" i="3"/>
  <c r="DU10" i="3"/>
  <c r="DT10" i="3" s="1"/>
  <c r="BK10" i="3"/>
  <c r="BJ10" i="3" s="1"/>
  <c r="Q9" i="3"/>
  <c r="AA5" i="3"/>
  <c r="AC5" i="3" s="1"/>
  <c r="AV38" i="3"/>
  <c r="BP9" i="3"/>
  <c r="N39" i="3"/>
  <c r="I39" i="3"/>
  <c r="BO8" i="3"/>
  <c r="DX48" i="3"/>
  <c r="DT48" i="3" s="1"/>
  <c r="DS6" i="3"/>
  <c r="DS5" i="3" s="1"/>
  <c r="AW5" i="3"/>
  <c r="BU38" i="3"/>
  <c r="DF51" i="3"/>
  <c r="DB51" i="3" s="1"/>
  <c r="CR38" i="3"/>
  <c r="X5" i="3"/>
  <c r="DH67" i="3"/>
  <c r="BN63" i="3"/>
  <c r="BH63" i="3" s="1"/>
  <c r="BD63" i="3" s="1"/>
  <c r="DT51" i="3"/>
  <c r="BE47" i="3"/>
  <c r="BG47" i="3" s="1"/>
  <c r="K44" i="3"/>
  <c r="AU41" i="3"/>
  <c r="DN29" i="3"/>
  <c r="G18" i="3"/>
  <c r="DH26" i="3"/>
  <c r="DC11" i="3"/>
  <c r="DB11" i="3" s="1"/>
  <c r="BA9" i="3"/>
  <c r="DL8" i="3"/>
  <c r="BN58" i="3"/>
  <c r="Q41" i="3"/>
  <c r="W39" i="3"/>
  <c r="G25" i="3"/>
  <c r="N41" i="3"/>
  <c r="DU40" i="3"/>
  <c r="CE10" i="3"/>
  <c r="BS9" i="3"/>
  <c r="DI9" i="3"/>
  <c r="J9" i="3"/>
  <c r="DF65" i="3"/>
  <c r="DB65" i="3" s="1"/>
  <c r="BH59" i="3"/>
  <c r="BD59" i="3" s="1"/>
  <c r="DH51" i="3"/>
  <c r="DT50" i="3"/>
  <c r="BH49" i="3"/>
  <c r="BD49" i="3" s="1"/>
  <c r="DL48" i="3"/>
  <c r="DH48" i="3" s="1"/>
  <c r="AU42" i="3"/>
  <c r="BH27" i="3"/>
  <c r="BD27" i="3" s="1"/>
  <c r="G20" i="3"/>
  <c r="DX15" i="3"/>
  <c r="DT15" i="3" s="1"/>
  <c r="DW14" i="3"/>
  <c r="DG13" i="3"/>
  <c r="DW12" i="3"/>
  <c r="BM11" i="3"/>
  <c r="AU9" i="3"/>
  <c r="AU6" i="3"/>
  <c r="G58" i="3"/>
  <c r="G52" i="3"/>
  <c r="DV40" i="3"/>
  <c r="AH40" i="3"/>
  <c r="BK9" i="3"/>
  <c r="BE9" i="3" s="1"/>
  <c r="BG9" i="3" s="1"/>
  <c r="AH9" i="3"/>
  <c r="CG5" i="3"/>
  <c r="AZ5" i="3"/>
  <c r="V5" i="3"/>
  <c r="I42" i="3"/>
  <c r="K42" i="3" s="1"/>
  <c r="CC38" i="3"/>
  <c r="AS38" i="3"/>
  <c r="CE40" i="3"/>
  <c r="DL7" i="3"/>
  <c r="AP5" i="3"/>
  <c r="DY10" i="3"/>
  <c r="BU5" i="3"/>
  <c r="AD5" i="3"/>
  <c r="DR58" i="3"/>
  <c r="DN58" i="3" s="1"/>
  <c r="DX53" i="3"/>
  <c r="DT53" i="3" s="1"/>
  <c r="CF38" i="3"/>
  <c r="BI44" i="3"/>
  <c r="BI39" i="3" s="1"/>
  <c r="BO39" i="3"/>
  <c r="CB8" i="3"/>
  <c r="DM6" i="3"/>
  <c r="DM5" i="3" s="1"/>
  <c r="DG18" i="3"/>
  <c r="CF5" i="3"/>
  <c r="BT38" i="3"/>
  <c r="G47" i="3"/>
  <c r="M42" i="3"/>
  <c r="BI46" i="3"/>
  <c r="BI41" i="3" s="1"/>
  <c r="BO41" i="3"/>
  <c r="J8" i="3"/>
  <c r="DF64" i="3"/>
  <c r="DB64" i="3" s="1"/>
  <c r="BF41" i="3"/>
  <c r="BO10" i="3"/>
  <c r="BI10" i="3" s="1"/>
  <c r="Z8" i="3"/>
  <c r="CB7" i="3"/>
  <c r="DT7" i="3" s="1"/>
  <c r="BK7" i="3"/>
  <c r="BE7" i="3" s="1"/>
  <c r="DU7" i="3"/>
  <c r="DW7" i="3" s="1"/>
  <c r="DI7" i="3"/>
  <c r="DK7" i="3" s="1"/>
  <c r="N7" i="3"/>
  <c r="DO6" i="3"/>
  <c r="AG6" i="3"/>
  <c r="AS5" i="3"/>
  <c r="N6" i="3"/>
  <c r="CC5" i="3"/>
  <c r="AC8" i="3"/>
  <c r="Q7" i="3"/>
  <c r="DY6" i="3"/>
  <c r="CO5" i="3"/>
  <c r="BM8" i="3"/>
  <c r="BF8" i="3"/>
  <c r="DO8" i="3"/>
  <c r="AG8" i="3"/>
  <c r="AI8" i="3" s="1"/>
  <c r="I8" i="3"/>
  <c r="N8" i="3"/>
  <c r="DO7" i="3"/>
  <c r="DQ7" i="3" s="1"/>
  <c r="AG7" i="3"/>
  <c r="AI7" i="3" s="1"/>
  <c r="BQ5" i="3"/>
  <c r="BK6" i="3"/>
  <c r="DI6" i="3"/>
  <c r="O5" i="3"/>
  <c r="I6" i="3"/>
  <c r="Q8" i="3"/>
  <c r="BF7" i="3"/>
  <c r="BS6" i="3"/>
  <c r="BF42" i="3"/>
  <c r="BS7" i="3"/>
  <c r="BJ65" i="3"/>
  <c r="BH65" i="3"/>
  <c r="AJ63" i="3"/>
  <c r="AF63" i="3" s="1"/>
  <c r="AK63" i="3"/>
  <c r="G63" i="3" s="1"/>
  <c r="DM63" i="3"/>
  <c r="DG64" i="3"/>
  <c r="L63" i="3"/>
  <c r="T63" i="3"/>
  <c r="BJ61" i="3"/>
  <c r="BH61" i="3"/>
  <c r="G60" i="3"/>
  <c r="M40" i="3"/>
  <c r="AL58" i="3"/>
  <c r="AJ58" i="3"/>
  <c r="AF58" i="3" s="1"/>
  <c r="N58" i="3"/>
  <c r="L58" i="3"/>
  <c r="BJ57" i="3"/>
  <c r="BH57" i="3"/>
  <c r="BN42" i="3"/>
  <c r="AK42" i="3"/>
  <c r="BJ55" i="3"/>
  <c r="BH55" i="3"/>
  <c r="BN40" i="3"/>
  <c r="AK40" i="3"/>
  <c r="G53" i="3"/>
  <c r="G57" i="3"/>
  <c r="G55" i="3"/>
  <c r="H52" i="3"/>
  <c r="L42" i="3"/>
  <c r="AF51" i="3"/>
  <c r="AJ41" i="3"/>
  <c r="H50" i="3"/>
  <c r="L40" i="3"/>
  <c r="AF49" i="3"/>
  <c r="AJ39" i="3"/>
  <c r="N48" i="3"/>
  <c r="L48" i="3"/>
  <c r="DK47" i="3"/>
  <c r="DD47" i="3"/>
  <c r="DK46" i="3"/>
  <c r="DD46" i="3"/>
  <c r="DK45" i="3"/>
  <c r="DD45" i="3"/>
  <c r="DW44" i="3"/>
  <c r="DV43" i="3"/>
  <c r="DK44" i="3"/>
  <c r="DD44" i="3"/>
  <c r="DJ43" i="3"/>
  <c r="BJ31" i="3"/>
  <c r="BH31" i="3"/>
  <c r="AK30" i="3"/>
  <c r="G30" i="3" s="1"/>
  <c r="L30" i="3"/>
  <c r="BI29" i="3"/>
  <c r="BO9" i="3"/>
  <c r="AF29" i="3"/>
  <c r="AJ9" i="3"/>
  <c r="AK15" i="3"/>
  <c r="L15" i="3"/>
  <c r="D14" i="3"/>
  <c r="K14" i="3"/>
  <c r="D13" i="3"/>
  <c r="K13" i="3"/>
  <c r="D12" i="3"/>
  <c r="K12" i="3"/>
  <c r="H27" i="3"/>
  <c r="L7" i="3"/>
  <c r="AF26" i="3"/>
  <c r="AJ6" i="3"/>
  <c r="BJ23" i="3"/>
  <c r="BH23" i="3"/>
  <c r="BJ21" i="3"/>
  <c r="BH21" i="3"/>
  <c r="DF16" i="3"/>
  <c r="DL15" i="3"/>
  <c r="DH15" i="3" s="1"/>
  <c r="DK14" i="3"/>
  <c r="DD14" i="3"/>
  <c r="DK13" i="3"/>
  <c r="DD13" i="3"/>
  <c r="DK12" i="3"/>
  <c r="DD12" i="3"/>
  <c r="DQ14" i="3"/>
  <c r="DC13" i="3"/>
  <c r="DB13" i="3" s="1"/>
  <c r="DQ12" i="3"/>
  <c r="AI12" i="3"/>
  <c r="BJ11" i="3"/>
  <c r="BE11" i="3"/>
  <c r="C11" i="3" s="1"/>
  <c r="B11" i="3" s="1"/>
  <c r="AF11" i="3"/>
  <c r="DO10" i="3"/>
  <c r="DJ10" i="3"/>
  <c r="AI11" i="3"/>
  <c r="DV10" i="3"/>
  <c r="H67" i="3"/>
  <c r="BJ64" i="3"/>
  <c r="BH64" i="3"/>
  <c r="DR63" i="3"/>
  <c r="DN63" i="3" s="1"/>
  <c r="G64" i="3"/>
  <c r="M39" i="3"/>
  <c r="BJ62" i="3"/>
  <c r="BH62" i="3"/>
  <c r="BJ60" i="3"/>
  <c r="BH60" i="3"/>
  <c r="H59" i="3"/>
  <c r="BJ56" i="3"/>
  <c r="BH56" i="3"/>
  <c r="BN41" i="3"/>
  <c r="AK41" i="3"/>
  <c r="BJ54" i="3"/>
  <c r="BH54" i="3"/>
  <c r="BN39" i="3"/>
  <c r="AK39" i="3"/>
  <c r="L53" i="3"/>
  <c r="DM58" i="3"/>
  <c r="G56" i="3"/>
  <c r="D44" i="3"/>
  <c r="AF52" i="3"/>
  <c r="AJ42" i="3"/>
  <c r="H51" i="3"/>
  <c r="L41" i="3"/>
  <c r="AF50" i="3"/>
  <c r="AJ40" i="3"/>
  <c r="H49" i="3"/>
  <c r="L39" i="3"/>
  <c r="DO43" i="3"/>
  <c r="DN43" i="3" s="1"/>
  <c r="DQ45" i="3"/>
  <c r="DC44" i="3"/>
  <c r="BJ34" i="3"/>
  <c r="BH34" i="3"/>
  <c r="BJ33" i="3"/>
  <c r="BH33" i="3"/>
  <c r="BJ32" i="3"/>
  <c r="BH32" i="3"/>
  <c r="BJ30" i="3"/>
  <c r="BH30" i="3"/>
  <c r="BD30" i="3" s="1"/>
  <c r="AJ30" i="3"/>
  <c r="AF30" i="3" s="1"/>
  <c r="H29" i="3"/>
  <c r="L9" i="3"/>
  <c r="AF28" i="3"/>
  <c r="AJ8" i="3"/>
  <c r="H28" i="3"/>
  <c r="L8" i="3"/>
  <c r="BJ19" i="3"/>
  <c r="BH19" i="3"/>
  <c r="BN9" i="3"/>
  <c r="AK9" i="3"/>
  <c r="BJ18" i="3"/>
  <c r="BH18" i="3"/>
  <c r="BN8" i="3"/>
  <c r="BJ8" i="3" s="1"/>
  <c r="AK8" i="3"/>
  <c r="BJ17" i="3"/>
  <c r="BH17" i="3"/>
  <c r="BN7" i="3"/>
  <c r="AK7" i="3"/>
  <c r="BJ16" i="3"/>
  <c r="BH16" i="3"/>
  <c r="BN6" i="3"/>
  <c r="AJ15" i="3"/>
  <c r="AF15" i="3" s="1"/>
  <c r="BJ14" i="3"/>
  <c r="BE14" i="3"/>
  <c r="BD14" i="3" s="1"/>
  <c r="AF14" i="3"/>
  <c r="BJ13" i="3"/>
  <c r="BE13" i="3"/>
  <c r="BD13" i="3" s="1"/>
  <c r="AF13" i="3"/>
  <c r="BJ12" i="3"/>
  <c r="BE12" i="3"/>
  <c r="BD12" i="3" s="1"/>
  <c r="BI27" i="3"/>
  <c r="BO7" i="3"/>
  <c r="AF27" i="3"/>
  <c r="AJ7" i="3"/>
  <c r="H26" i="3"/>
  <c r="L6" i="3"/>
  <c r="N25" i="3"/>
  <c r="L25" i="3"/>
  <c r="BJ24" i="3"/>
  <c r="BH24" i="3"/>
  <c r="BJ22" i="3"/>
  <c r="BH22" i="3"/>
  <c r="L20" i="3"/>
  <c r="BM14" i="3"/>
  <c r="BM12" i="3"/>
  <c r="G19" i="3"/>
  <c r="G17" i="3"/>
  <c r="G11" i="3"/>
  <c r="AK6" i="3"/>
  <c r="K11" i="3"/>
  <c r="D11" i="3"/>
  <c r="N10" i="3"/>
  <c r="I10" i="3"/>
  <c r="DD7" i="3"/>
  <c r="AC10" i="3"/>
  <c r="DM10" i="3"/>
  <c r="Q10" i="3"/>
  <c r="BV38" i="3" l="1"/>
  <c r="BY38" i="3"/>
  <c r="DF39" i="3"/>
  <c r="DH41" i="3"/>
  <c r="DR38" i="3"/>
  <c r="AI41" i="3"/>
  <c r="DG39" i="3"/>
  <c r="DM38" i="3"/>
  <c r="DX38" i="3"/>
  <c r="CN38" i="3"/>
  <c r="DI38" i="3"/>
  <c r="DK38" i="3" s="1"/>
  <c r="DT6" i="3"/>
  <c r="F52" i="3"/>
  <c r="B52" i="3" s="1"/>
  <c r="DN42" i="3"/>
  <c r="F29" i="3"/>
  <c r="B29" i="3" s="1"/>
  <c r="F51" i="3"/>
  <c r="B51" i="3" s="1"/>
  <c r="AO38" i="3"/>
  <c r="BM43" i="3"/>
  <c r="DK42" i="3"/>
  <c r="CW38" i="3"/>
  <c r="G10" i="3"/>
  <c r="DG41" i="3"/>
  <c r="T5" i="3"/>
  <c r="DW6" i="3"/>
  <c r="W5" i="3"/>
  <c r="AI43" i="3"/>
  <c r="CH5" i="3"/>
  <c r="DN9" i="3"/>
  <c r="BP38" i="3"/>
  <c r="DT8" i="3"/>
  <c r="BA5" i="3"/>
  <c r="K41" i="3"/>
  <c r="DS38" i="3"/>
  <c r="DG40" i="3"/>
  <c r="BJ40" i="3"/>
  <c r="BG40" i="3"/>
  <c r="DW39" i="3"/>
  <c r="AI42" i="3"/>
  <c r="DG58" i="3"/>
  <c r="AX5" i="3"/>
  <c r="DK6" i="3"/>
  <c r="DN39" i="3"/>
  <c r="BL38" i="3"/>
  <c r="F26" i="3"/>
  <c r="B26" i="3" s="1"/>
  <c r="DG20" i="3"/>
  <c r="AF41" i="3"/>
  <c r="C41" i="3"/>
  <c r="DG53" i="3"/>
  <c r="BD47" i="3"/>
  <c r="DF7" i="3"/>
  <c r="K40" i="3"/>
  <c r="BF39" i="3"/>
  <c r="D39" i="3" s="1"/>
  <c r="K9" i="3"/>
  <c r="BM39" i="3"/>
  <c r="DG25" i="3"/>
  <c r="BM40" i="3"/>
  <c r="DD42" i="3"/>
  <c r="BE43" i="3"/>
  <c r="BD43" i="3" s="1"/>
  <c r="DY38" i="3"/>
  <c r="DG30" i="3"/>
  <c r="DE14" i="3"/>
  <c r="BG46" i="3"/>
  <c r="C46" i="3"/>
  <c r="E46" i="3" s="1"/>
  <c r="DQ42" i="3"/>
  <c r="BJ20" i="3"/>
  <c r="AF42" i="3"/>
  <c r="DK43" i="3"/>
  <c r="N38" i="3"/>
  <c r="DD6" i="3"/>
  <c r="DD5" i="3" s="1"/>
  <c r="DG43" i="3"/>
  <c r="DG48" i="3"/>
  <c r="DG63" i="3"/>
  <c r="AH38" i="3"/>
  <c r="Z38" i="3"/>
  <c r="DF41" i="3"/>
  <c r="DF6" i="3"/>
  <c r="K39" i="3"/>
  <c r="BF6" i="3"/>
  <c r="BF5" i="3" s="1"/>
  <c r="C45" i="3"/>
  <c r="B45" i="3" s="1"/>
  <c r="DW42" i="3"/>
  <c r="D10" i="3"/>
  <c r="AO5" i="3"/>
  <c r="DE47" i="3"/>
  <c r="DQ8" i="3"/>
  <c r="C42" i="3"/>
  <c r="DE45" i="3"/>
  <c r="DF9" i="3"/>
  <c r="BJ41" i="3"/>
  <c r="BG45" i="3"/>
  <c r="BH41" i="3"/>
  <c r="F41" i="3" s="1"/>
  <c r="DN7" i="3"/>
  <c r="DC39" i="3"/>
  <c r="BG7" i="3"/>
  <c r="DE12" i="3"/>
  <c r="G15" i="3"/>
  <c r="BH53" i="3"/>
  <c r="BD53" i="3" s="1"/>
  <c r="DC40" i="3"/>
  <c r="DB40" i="3" s="1"/>
  <c r="DW43" i="3"/>
  <c r="BM42" i="3"/>
  <c r="F49" i="3"/>
  <c r="B49" i="3" s="1"/>
  <c r="BJ42" i="3"/>
  <c r="BE39" i="3"/>
  <c r="C39" i="3" s="1"/>
  <c r="K43" i="3"/>
  <c r="DX5" i="3"/>
  <c r="BJ7" i="3"/>
  <c r="F28" i="3"/>
  <c r="B28" i="3" s="1"/>
  <c r="F67" i="3"/>
  <c r="B67" i="3" s="1"/>
  <c r="BG42" i="3"/>
  <c r="DF30" i="3"/>
  <c r="DB30" i="3" s="1"/>
  <c r="DF58" i="3"/>
  <c r="DB58" i="3" s="1"/>
  <c r="F50" i="3"/>
  <c r="B50" i="3" s="1"/>
  <c r="BJ63" i="3"/>
  <c r="AG38" i="3"/>
  <c r="AI38" i="3" s="1"/>
  <c r="BM41" i="3"/>
  <c r="DG15" i="3"/>
  <c r="CB38" i="3"/>
  <c r="AH5" i="3"/>
  <c r="BJ9" i="3"/>
  <c r="F27" i="3"/>
  <c r="B27" i="3" s="1"/>
  <c r="Z5" i="3"/>
  <c r="C47" i="3"/>
  <c r="B47" i="3" s="1"/>
  <c r="AK38" i="3"/>
  <c r="BG41" i="3"/>
  <c r="DF8" i="3"/>
  <c r="DR5" i="3"/>
  <c r="AF8" i="3"/>
  <c r="BM9" i="3"/>
  <c r="K7" i="3"/>
  <c r="DG10" i="3"/>
  <c r="BH15" i="3"/>
  <c r="BD15" i="3" s="1"/>
  <c r="DU38" i="3"/>
  <c r="DC8" i="3"/>
  <c r="BK38" i="3"/>
  <c r="BV5" i="3"/>
  <c r="DL38" i="3"/>
  <c r="C12" i="3"/>
  <c r="B12" i="3" s="1"/>
  <c r="G8" i="3"/>
  <c r="F59" i="3"/>
  <c r="B59" i="3" s="1"/>
  <c r="BM10" i="3"/>
  <c r="DC42" i="3"/>
  <c r="I38" i="3"/>
  <c r="DO38" i="3"/>
  <c r="BY5" i="3"/>
  <c r="DQ39" i="3"/>
  <c r="AI9" i="3"/>
  <c r="DF42" i="3"/>
  <c r="M5" i="3"/>
  <c r="DH9" i="3"/>
  <c r="DE11" i="3"/>
  <c r="F66" i="3"/>
  <c r="B66" i="3" s="1"/>
  <c r="DC41" i="3"/>
  <c r="C13" i="3"/>
  <c r="B13" i="3" s="1"/>
  <c r="C14" i="3"/>
  <c r="B14" i="3" s="1"/>
  <c r="G41" i="3"/>
  <c r="DE46" i="3"/>
  <c r="G42" i="3"/>
  <c r="DF63" i="3"/>
  <c r="DB63" i="3" s="1"/>
  <c r="J38" i="3"/>
  <c r="D9" i="3"/>
  <c r="D43" i="3"/>
  <c r="AI40" i="3"/>
  <c r="DF20" i="3"/>
  <c r="DB20" i="3" s="1"/>
  <c r="AF7" i="3"/>
  <c r="AF40" i="3"/>
  <c r="BH39" i="3"/>
  <c r="F39" i="3" s="1"/>
  <c r="DK10" i="3"/>
  <c r="DF25" i="3"/>
  <c r="DB25" i="3" s="1"/>
  <c r="DF48" i="3"/>
  <c r="DB48" i="3" s="1"/>
  <c r="BE10" i="3"/>
  <c r="DC10" i="3"/>
  <c r="DB10" i="3" s="1"/>
  <c r="J5" i="3"/>
  <c r="BO38" i="3"/>
  <c r="AL5" i="3"/>
  <c r="AR38" i="3"/>
  <c r="G44" i="3"/>
  <c r="BJ48" i="3"/>
  <c r="BH48" i="3"/>
  <c r="BD48" i="3" s="1"/>
  <c r="DP5" i="3"/>
  <c r="G46" i="3"/>
  <c r="BJ25" i="3"/>
  <c r="BH25" i="3"/>
  <c r="BD25" i="3" s="1"/>
  <c r="DL5" i="3"/>
  <c r="E11" i="3"/>
  <c r="DF53" i="3"/>
  <c r="DB53" i="3" s="1"/>
  <c r="BM7" i="3"/>
  <c r="C7" i="3"/>
  <c r="Q38" i="3"/>
  <c r="D41" i="3"/>
  <c r="DC9" i="3"/>
  <c r="DK9" i="3"/>
  <c r="BI40" i="3"/>
  <c r="BI38" i="3" s="1"/>
  <c r="G45" i="3"/>
  <c r="CT5" i="3"/>
  <c r="C40" i="3"/>
  <c r="D40" i="3"/>
  <c r="DD40" i="3"/>
  <c r="DV38" i="3"/>
  <c r="DW40" i="3"/>
  <c r="BJ58" i="3"/>
  <c r="BH58" i="3"/>
  <c r="BD58" i="3" s="1"/>
  <c r="CE38" i="3"/>
  <c r="DD10" i="3"/>
  <c r="BO5" i="3"/>
  <c r="BG44" i="3"/>
  <c r="DW10" i="3"/>
  <c r="AF9" i="3"/>
  <c r="AU38" i="3"/>
  <c r="DU5" i="3"/>
  <c r="C9" i="3"/>
  <c r="C44" i="3"/>
  <c r="B44" i="3" s="1"/>
  <c r="AI10" i="3"/>
  <c r="DI5" i="3"/>
  <c r="DK5" i="3" s="1"/>
  <c r="DC6" i="3"/>
  <c r="BE6" i="3"/>
  <c r="BE5" i="3" s="1"/>
  <c r="BK5" i="3"/>
  <c r="BM5" i="3" s="1"/>
  <c r="C8" i="3"/>
  <c r="K8" i="3"/>
  <c r="BG8" i="3"/>
  <c r="D8" i="3"/>
  <c r="CB5" i="3"/>
  <c r="CE5" i="3"/>
  <c r="AG5" i="3"/>
  <c r="AI6" i="3"/>
  <c r="D7" i="3"/>
  <c r="DC7" i="3"/>
  <c r="D42" i="3"/>
  <c r="N5" i="3"/>
  <c r="Q5" i="3"/>
  <c r="BP5" i="3"/>
  <c r="BS5" i="3"/>
  <c r="I5" i="3"/>
  <c r="CN5" i="3"/>
  <c r="CQ5" i="3"/>
  <c r="DY5" i="3"/>
  <c r="DG6" i="3"/>
  <c r="DG5" i="3" s="1"/>
  <c r="K6" i="3"/>
  <c r="AR5" i="3"/>
  <c r="AU5" i="3"/>
  <c r="DO5" i="3"/>
  <c r="DQ6" i="3"/>
  <c r="BM6" i="3"/>
  <c r="H20" i="3"/>
  <c r="F20" i="3"/>
  <c r="B20" i="3" s="1"/>
  <c r="BH6" i="3"/>
  <c r="F6" i="3" s="1"/>
  <c r="BD16" i="3"/>
  <c r="F16" i="3"/>
  <c r="B16" i="3" s="1"/>
  <c r="BH7" i="3"/>
  <c r="BD7" i="3" s="1"/>
  <c r="BD17" i="3"/>
  <c r="F17" i="3"/>
  <c r="B17" i="3" s="1"/>
  <c r="BH8" i="3"/>
  <c r="BD8" i="3" s="1"/>
  <c r="BD18" i="3"/>
  <c r="F18" i="3"/>
  <c r="B18" i="3" s="1"/>
  <c r="BH9" i="3"/>
  <c r="BD9" i="3" s="1"/>
  <c r="BD19" i="3"/>
  <c r="F19" i="3"/>
  <c r="B19" i="3" s="1"/>
  <c r="H8" i="3"/>
  <c r="H9" i="3"/>
  <c r="H41" i="3"/>
  <c r="BD54" i="3"/>
  <c r="F54" i="3"/>
  <c r="B54" i="3" s="1"/>
  <c r="BD56" i="3"/>
  <c r="F56" i="3"/>
  <c r="B56" i="3" s="1"/>
  <c r="F60" i="3"/>
  <c r="B60" i="3" s="1"/>
  <c r="BD60" i="3"/>
  <c r="BD62" i="3"/>
  <c r="F62" i="3"/>
  <c r="B62" i="3" s="1"/>
  <c r="G39" i="3"/>
  <c r="M38" i="3"/>
  <c r="DQ10" i="3"/>
  <c r="DN10" i="3"/>
  <c r="BD11" i="3"/>
  <c r="BG11" i="3"/>
  <c r="DE13" i="3"/>
  <c r="F21" i="3"/>
  <c r="B21" i="3" s="1"/>
  <c r="BD21" i="3"/>
  <c r="F23" i="3"/>
  <c r="B23" i="3" s="1"/>
  <c r="BD23" i="3"/>
  <c r="AF6" i="3"/>
  <c r="AJ5" i="3"/>
  <c r="H7" i="3"/>
  <c r="BG13" i="3"/>
  <c r="H15" i="3"/>
  <c r="BI9" i="3"/>
  <c r="G9" i="3" s="1"/>
  <c r="G29" i="3"/>
  <c r="DE44" i="3"/>
  <c r="DD43" i="3"/>
  <c r="H48" i="3"/>
  <c r="AF39" i="3"/>
  <c r="AJ38" i="3"/>
  <c r="H40" i="3"/>
  <c r="BH42" i="3"/>
  <c r="BD42" i="3" s="1"/>
  <c r="H63" i="3"/>
  <c r="F63" i="3"/>
  <c r="B63" i="3" s="1"/>
  <c r="F65" i="3"/>
  <c r="B65" i="3" s="1"/>
  <c r="BD65" i="3"/>
  <c r="H10" i="3"/>
  <c r="K10" i="3"/>
  <c r="G6" i="3"/>
  <c r="AK5" i="3"/>
  <c r="BD22" i="3"/>
  <c r="F22" i="3"/>
  <c r="B22" i="3" s="1"/>
  <c r="BD24" i="3"/>
  <c r="F24" i="3"/>
  <c r="B24" i="3" s="1"/>
  <c r="H25" i="3"/>
  <c r="H6" i="3"/>
  <c r="L5" i="3"/>
  <c r="BI7" i="3"/>
  <c r="G27" i="3"/>
  <c r="BN5" i="3"/>
  <c r="BJ6" i="3"/>
  <c r="BD32" i="3"/>
  <c r="F32" i="3"/>
  <c r="B32" i="3" s="1"/>
  <c r="BD33" i="3"/>
  <c r="F33" i="3"/>
  <c r="B33" i="3" s="1"/>
  <c r="BD34" i="3"/>
  <c r="F34" i="3"/>
  <c r="B34" i="3" s="1"/>
  <c r="DC43" i="3"/>
  <c r="DB43" i="3" s="1"/>
  <c r="DB44" i="3"/>
  <c r="DQ43" i="3"/>
  <c r="H39" i="3"/>
  <c r="L38" i="3"/>
  <c r="H53" i="3"/>
  <c r="BJ39" i="3"/>
  <c r="BN38" i="3"/>
  <c r="BD64" i="3"/>
  <c r="F64" i="3"/>
  <c r="B64" i="3" s="1"/>
  <c r="DF15" i="3"/>
  <c r="DB15" i="3" s="1"/>
  <c r="DB16" i="3"/>
  <c r="BG12" i="3"/>
  <c r="BG14" i="3"/>
  <c r="H30" i="3"/>
  <c r="F30" i="3"/>
  <c r="B30" i="3" s="1"/>
  <c r="BD31" i="3"/>
  <c r="F31" i="3"/>
  <c r="B31" i="3" s="1"/>
  <c r="BH40" i="3"/>
  <c r="BD40" i="3" s="1"/>
  <c r="H42" i="3"/>
  <c r="F55" i="3"/>
  <c r="B55" i="3" s="1"/>
  <c r="BD55" i="3"/>
  <c r="F57" i="3"/>
  <c r="B57" i="3" s="1"/>
  <c r="BD57" i="3"/>
  <c r="H58" i="3"/>
  <c r="F61" i="3"/>
  <c r="B61" i="3" s="1"/>
  <c r="BD61" i="3"/>
  <c r="DB39" i="3" l="1"/>
  <c r="DN38" i="3"/>
  <c r="DH38" i="3"/>
  <c r="DT38" i="3"/>
  <c r="DG38" i="3"/>
  <c r="E41" i="3"/>
  <c r="B46" i="3"/>
  <c r="BF38" i="3"/>
  <c r="BM38" i="3"/>
  <c r="B41" i="3"/>
  <c r="D6" i="3"/>
  <c r="D5" i="3" s="1"/>
  <c r="DE42" i="3"/>
  <c r="BG43" i="3"/>
  <c r="F53" i="3"/>
  <c r="B53" i="3" s="1"/>
  <c r="E47" i="3"/>
  <c r="E42" i="3"/>
  <c r="DB7" i="3"/>
  <c r="BE38" i="3"/>
  <c r="C43" i="3"/>
  <c r="B43" i="3" s="1"/>
  <c r="DE6" i="3"/>
  <c r="E45" i="3"/>
  <c r="DF38" i="3"/>
  <c r="BG39" i="3"/>
  <c r="DF5" i="3"/>
  <c r="AI5" i="3"/>
  <c r="DB8" i="3"/>
  <c r="DT5" i="3"/>
  <c r="AF38" i="3"/>
  <c r="BD41" i="3"/>
  <c r="E13" i="3"/>
  <c r="DE39" i="3"/>
  <c r="H5" i="3"/>
  <c r="DW38" i="3"/>
  <c r="C38" i="3"/>
  <c r="BJ38" i="3"/>
  <c r="E39" i="3"/>
  <c r="DN5" i="3"/>
  <c r="BD39" i="3"/>
  <c r="K38" i="3"/>
  <c r="F15" i="3"/>
  <c r="B15" i="3" s="1"/>
  <c r="DQ38" i="3"/>
  <c r="E44" i="3"/>
  <c r="DE8" i="3"/>
  <c r="DB41" i="3"/>
  <c r="DE41" i="3"/>
  <c r="AF5" i="3"/>
  <c r="H38" i="3"/>
  <c r="E7" i="3"/>
  <c r="DB42" i="3"/>
  <c r="BJ5" i="3"/>
  <c r="DC38" i="3"/>
  <c r="F58" i="3"/>
  <c r="B58" i="3" s="1"/>
  <c r="F25" i="3"/>
  <c r="B25" i="3" s="1"/>
  <c r="E12" i="3"/>
  <c r="BG6" i="3"/>
  <c r="E9" i="3"/>
  <c r="DE10" i="3"/>
  <c r="DW5" i="3"/>
  <c r="G40" i="3"/>
  <c r="G38" i="3" s="1"/>
  <c r="F48" i="3"/>
  <c r="B48" i="3" s="1"/>
  <c r="BG5" i="3"/>
  <c r="K5" i="3"/>
  <c r="BD10" i="3"/>
  <c r="BG10" i="3"/>
  <c r="C10" i="3"/>
  <c r="B10" i="3" s="1"/>
  <c r="E14" i="3"/>
  <c r="F9" i="3"/>
  <c r="B9" i="3" s="1"/>
  <c r="E8" i="3"/>
  <c r="BI5" i="3"/>
  <c r="F42" i="3"/>
  <c r="B42" i="3" s="1"/>
  <c r="F7" i="3"/>
  <c r="B7" i="3" s="1"/>
  <c r="DH5" i="3"/>
  <c r="E40" i="3"/>
  <c r="DE9" i="3"/>
  <c r="DB9" i="3"/>
  <c r="F8" i="3"/>
  <c r="B8" i="3" s="1"/>
  <c r="DE40" i="3"/>
  <c r="DD38" i="3"/>
  <c r="DB6" i="3"/>
  <c r="DC5" i="3"/>
  <c r="C6" i="3"/>
  <c r="B6" i="3" s="1"/>
  <c r="D38" i="3"/>
  <c r="DE7" i="3"/>
  <c r="DQ5" i="3"/>
  <c r="B39" i="3"/>
  <c r="F40" i="3"/>
  <c r="B40" i="3" s="1"/>
  <c r="DE43" i="3"/>
  <c r="BH38" i="3"/>
  <c r="G7" i="3"/>
  <c r="G5" i="3" s="1"/>
  <c r="BD6" i="3"/>
  <c r="BH5" i="3"/>
  <c r="BD5" i="3" s="1"/>
  <c r="BG38" i="3" l="1"/>
  <c r="BD38" i="3"/>
  <c r="E43" i="3"/>
  <c r="DB38" i="3"/>
  <c r="DB5" i="3"/>
  <c r="E38" i="3"/>
  <c r="DE38" i="3"/>
  <c r="E10" i="3"/>
  <c r="DE5" i="3"/>
  <c r="F5" i="3"/>
  <c r="C5" i="3"/>
  <c r="E5" i="3" s="1"/>
  <c r="E6" i="3"/>
  <c r="F38" i="3"/>
  <c r="B38" i="3" s="1"/>
  <c r="B5" i="3" l="1"/>
</calcChain>
</file>

<file path=xl/sharedStrings.xml><?xml version="1.0" encoding="utf-8"?>
<sst xmlns="http://schemas.openxmlformats.org/spreadsheetml/2006/main" count="545" uniqueCount="260">
  <si>
    <t>Наименование неиспользуемого объекта, инвентарный номер по ЕГРНИ или бухгалтерскому учету</t>
  </si>
  <si>
    <t>Адрес объекта</t>
  </si>
  <si>
    <t>Год ввода объекта в эксплуатацию (приобретения)</t>
  </si>
  <si>
    <t>Класс сложности объекта</t>
  </si>
  <si>
    <t>Планируемый срок сноса</t>
  </si>
  <si>
    <t>Фотография объекта</t>
  </si>
  <si>
    <t>Плановые затраты на снос, тыс. рублей/ источник финансирования</t>
  </si>
  <si>
    <t>Примечание</t>
  </si>
  <si>
    <t>социальное</t>
  </si>
  <si>
    <t>-</t>
  </si>
  <si>
    <t>Мастерская, инв №571</t>
  </si>
  <si>
    <t>Пристройка к мастерской инв№5755</t>
  </si>
  <si>
    <t>Свиноферма</t>
  </si>
  <si>
    <t xml:space="preserve">Общежитие </t>
  </si>
  <si>
    <t>МТФ «Мозолевщина»</t>
  </si>
  <si>
    <t>Кормоцех</t>
  </si>
  <si>
    <t>Коровник Бакшы</t>
  </si>
  <si>
    <t>Телятник «Понизье»</t>
  </si>
  <si>
    <t>Диспетчерская</t>
  </si>
  <si>
    <t>Здание коровника</t>
  </si>
  <si>
    <t>Ферма Шеметово</t>
  </si>
  <si>
    <t>Детский сад</t>
  </si>
  <si>
    <t>Водонапорная башня</t>
  </si>
  <si>
    <t>Столовая</t>
  </si>
  <si>
    <t>Проходная</t>
  </si>
  <si>
    <t>Подсобные помещения</t>
  </si>
  <si>
    <t>Здание нежилое</t>
  </si>
  <si>
    <t>Гаражи</t>
  </si>
  <si>
    <t xml:space="preserve">Мельница </t>
  </si>
  <si>
    <t>Здание бывшего ПМК</t>
  </si>
  <si>
    <t>Склад</t>
  </si>
  <si>
    <t xml:space="preserve">Ферма </t>
  </si>
  <si>
    <t>Ферма</t>
  </si>
  <si>
    <t>3.2. Объекты потребительской кооперации</t>
  </si>
  <si>
    <t>Ворохосушилка</t>
  </si>
  <si>
    <t>Отдел идеологической работы, культуры и по делам молодежи Мядельского райисполкома</t>
  </si>
  <si>
    <t>Назначение объекта (производственное, социально-культурное, складское и т.д.)</t>
  </si>
  <si>
    <t>Общая площадь объекта, кв. м. / неиспользуемая площадь, кв.м.</t>
  </si>
  <si>
    <t>Мядельский район,                                д. Осово,                                 ул. Зеленая, 14</t>
  </si>
  <si>
    <t>Наименование организации, место нахождения</t>
  </si>
  <si>
    <t>Мядельский район,                             аг. Сватки,                         ул. Молодежная, 14</t>
  </si>
  <si>
    <t>Мядельский район,                          аг. Княгинин,                  ул. Зеленая, 29</t>
  </si>
  <si>
    <t>Здание котельной, инв. №633/С-13496</t>
  </si>
  <si>
    <t>Здание РБУ,                            инв. № 633/С-13492</t>
  </si>
  <si>
    <t>г. Мядель,                          ул. Интернацинальная, 4</t>
  </si>
  <si>
    <t>г. Мядель,                           ул. Интернацинальная, 4</t>
  </si>
  <si>
    <t>ОСП «Узлянка», аг.Узлянка</t>
  </si>
  <si>
    <t>Мядельский район, аг. Пузыри,                            ул. Я.Коласа, 9</t>
  </si>
  <si>
    <t xml:space="preserve">Мядельский район, аг. Слобода </t>
  </si>
  <si>
    <t>Мядельский район,  д. Константиново</t>
  </si>
  <si>
    <t>Мядельский район,   д. Мозолевщина</t>
  </si>
  <si>
    <t>Мядельский район, аг. Слобода</t>
  </si>
  <si>
    <t>Мядельский район, аг. Старые Габы</t>
  </si>
  <si>
    <t>Мядельский район,  д. Бояры</t>
  </si>
  <si>
    <t>Мядельский район,  д. Комарово</t>
  </si>
  <si>
    <t>Мядельский район,  д. Шеметово</t>
  </si>
  <si>
    <t>Мядельский район,  д. Яневичи</t>
  </si>
  <si>
    <t>Мядельский район,  аг. Старлыги</t>
  </si>
  <si>
    <t>Мядельский район,  д.  Полесье</t>
  </si>
  <si>
    <t>Здание неустановленного назначения</t>
  </si>
  <si>
    <t>Мядельский район,  д. Илово</t>
  </si>
  <si>
    <t>Мядельский район,  аг. Будслав</t>
  </si>
  <si>
    <t>Мядельский район,  д. Полесье</t>
  </si>
  <si>
    <t>Мядельский район,    д. Ревячка</t>
  </si>
  <si>
    <t>Мядельский район,    д. Россохи</t>
  </si>
  <si>
    <t>Мядельский район,    д. Шелковщина</t>
  </si>
  <si>
    <t>Мядельский район,    д. Прудники</t>
  </si>
  <si>
    <t>Мельница,                        № 00033</t>
  </si>
  <si>
    <t>Коровник,                                 № 02079</t>
  </si>
  <si>
    <t>Коровник,                    № 02081</t>
  </si>
  <si>
    <t>Мядельский район,  д. Пашковщина</t>
  </si>
  <si>
    <t>Шиферный склад,         № 93</t>
  </si>
  <si>
    <t>Мядельский район,          д. Парубки</t>
  </si>
  <si>
    <t>Мядельский район,       д. Лукьяновичи</t>
  </si>
  <si>
    <t>Дом культуры,             № 16</t>
  </si>
  <si>
    <t>Мядельский район,   д. Бояры</t>
  </si>
  <si>
    <t>Мядельский район,   д. Никольцы</t>
  </si>
  <si>
    <t>Мядельское РайПо,              г. Мядель</t>
  </si>
  <si>
    <t>Магазин,                    № 527</t>
  </si>
  <si>
    <t>Мядельский район,   д. Ногавки</t>
  </si>
  <si>
    <t>образования и воспитания</t>
  </si>
  <si>
    <t>неустановленного назначения</t>
  </si>
  <si>
    <t>складское</t>
  </si>
  <si>
    <t>производ-ственное</t>
  </si>
  <si>
    <t>сельскохозяйственное</t>
  </si>
  <si>
    <t>общественного питания</t>
  </si>
  <si>
    <t>Трансформаторная</t>
  </si>
  <si>
    <t>культурнопросветительское</t>
  </si>
  <si>
    <t>розничной торговли</t>
  </si>
  <si>
    <t>9/бюджетные средства</t>
  </si>
  <si>
    <t>9,2/бюджетные средства</t>
  </si>
  <si>
    <t>2,1/бюджетные средства</t>
  </si>
  <si>
    <t>20/бюджетные средства</t>
  </si>
  <si>
    <t>25/бюджетные средства</t>
  </si>
  <si>
    <t>3,0/собственные средства</t>
  </si>
  <si>
    <t>1,0/собственные средства</t>
  </si>
  <si>
    <t>7,5/собственные средства</t>
  </si>
  <si>
    <t>4,5/собственные средства</t>
  </si>
  <si>
    <t>7,0/собственные средства</t>
  </si>
  <si>
    <t>4,2/собственные средства</t>
  </si>
  <si>
    <t>6,0/собственные средства</t>
  </si>
  <si>
    <t>5,0/собственные средства</t>
  </si>
  <si>
    <t>11,0/собственные средства</t>
  </si>
  <si>
    <t>9,5/собственные средства</t>
  </si>
  <si>
    <t>5,5/собственные средства</t>
  </si>
  <si>
    <t>4,0/собственные средства</t>
  </si>
  <si>
    <t>1,2/собственные средства</t>
  </si>
  <si>
    <t>5,2/собственные средства</t>
  </si>
  <si>
    <t>6,5/собственные средства</t>
  </si>
  <si>
    <t>3,5/собственные средства</t>
  </si>
  <si>
    <t>1,5/собственные средства</t>
  </si>
  <si>
    <t>2,5/собственные средства</t>
  </si>
  <si>
    <t>5,8/собственные средства</t>
  </si>
  <si>
    <t>6,8/собственные средства</t>
  </si>
  <si>
    <t>1,9/собственные средства</t>
  </si>
  <si>
    <t xml:space="preserve">2,4/собственные средства </t>
  </si>
  <si>
    <t xml:space="preserve">3,5/собственные средства </t>
  </si>
  <si>
    <t>10,0/собственные средства</t>
  </si>
  <si>
    <t xml:space="preserve">1,0/собственные </t>
  </si>
  <si>
    <r>
      <t xml:space="preserve">ОАО «Свирь-агро»,   г.п. Свирь                    </t>
    </r>
    <r>
      <rPr>
        <b/>
        <sz val="9"/>
        <color theme="1"/>
        <rFont val="Times New Roman"/>
        <family val="1"/>
        <charset val="204"/>
      </rPr>
      <t xml:space="preserve"> Доля Мядельского района - 83,17%  </t>
    </r>
  </si>
  <si>
    <r>
      <t xml:space="preserve">ОАО «Сватки»,                  аг. Сватки                 </t>
    </r>
    <r>
      <rPr>
        <b/>
        <sz val="9"/>
        <color theme="1"/>
        <rFont val="Times New Roman"/>
        <family val="1"/>
        <charset val="204"/>
      </rPr>
      <t xml:space="preserve">Доля Мядельского района - 83,17%  </t>
    </r>
  </si>
  <si>
    <r>
      <t xml:space="preserve">ОАО «Занарочанский»,                     аг. Занарочь                  </t>
    </r>
    <r>
      <rPr>
        <b/>
        <sz val="9"/>
        <color theme="1"/>
        <rFont val="Times New Roman"/>
        <family val="1"/>
        <charset val="204"/>
      </rPr>
      <t xml:space="preserve">   Доля Мядельского района - 88,35%</t>
    </r>
  </si>
  <si>
    <r>
      <t xml:space="preserve">ОАО   «Мядельагросервис»,                 г. Мядель                   </t>
    </r>
    <r>
      <rPr>
        <b/>
        <sz val="9"/>
        <color theme="1"/>
        <rFont val="Times New Roman"/>
        <family val="1"/>
        <charset val="204"/>
      </rPr>
      <t>Доля Мядельского района - 93,31%</t>
    </r>
  </si>
  <si>
    <r>
      <t xml:space="preserve">ОАО «Мядельское агропромэнерго»,                    г. Мядель                       </t>
    </r>
    <r>
      <rPr>
        <b/>
        <sz val="9"/>
        <color theme="1"/>
        <rFont val="Times New Roman"/>
        <family val="1"/>
        <charset val="204"/>
      </rPr>
      <t xml:space="preserve">Доля Мядельского района - 93,31% </t>
    </r>
    <r>
      <rPr>
        <sz val="9"/>
        <color theme="1"/>
        <rFont val="Times New Roman"/>
        <family val="1"/>
        <charset val="204"/>
      </rPr>
      <t xml:space="preserve">  </t>
    </r>
  </si>
  <si>
    <t>Мядельский район д.Осово</t>
  </si>
  <si>
    <t>Мядельский район, аг. Неверы</t>
  </si>
  <si>
    <t>сельскохозяйственного назначения</t>
  </si>
  <si>
    <t>Столбы железобетонные</t>
  </si>
  <si>
    <t>склад</t>
  </si>
  <si>
    <t>1,8/собственные средства</t>
  </si>
  <si>
    <t>Магазин,                 № 300071</t>
  </si>
  <si>
    <t>Мядельский район,   д. Островляны</t>
  </si>
  <si>
    <t>Осовский сельский клуб инв.0101000138</t>
  </si>
  <si>
    <t>Здание тира инв.0100001120</t>
  </si>
  <si>
    <t>Здание интерната инв.0102000322</t>
  </si>
  <si>
    <t>район</t>
  </si>
  <si>
    <t>Общие итоги</t>
  </si>
  <si>
    <t>Государственное имущество</t>
  </si>
  <si>
    <t>Имущество ОАО c долей государства более 50 %</t>
  </si>
  <si>
    <t>Имущество иной частной собственности</t>
  </si>
  <si>
    <t>Безхозяйное имущество</t>
  </si>
  <si>
    <t>справочно:</t>
  </si>
  <si>
    <t>Имущество ОАО c долей государства</t>
  </si>
  <si>
    <t>Итого по госимуществу</t>
  </si>
  <si>
    <t>республиканская</t>
  </si>
  <si>
    <t>областная</t>
  </si>
  <si>
    <t>районная</t>
  </si>
  <si>
    <t>Итого по ОАО 
(доля государства более 50 %)</t>
  </si>
  <si>
    <t>с долей Республики Беларусь более 50 %</t>
  </si>
  <si>
    <t>с долей Минской области более 50 %</t>
  </si>
  <si>
    <t>с долей районов (г.Жодино) более 50 %</t>
  </si>
  <si>
    <t>Итого</t>
  </si>
  <si>
    <t>Итого по ОАО 
(доля государства менее 50%)</t>
  </si>
  <si>
    <t>ОАО с долей Республики Беларусь 
менее 50 %</t>
  </si>
  <si>
    <t>ОАО с долей Минской области 
менее 50 %</t>
  </si>
  <si>
    <t>ОАО с долей районов (г.Жодино) 
менее 50 %</t>
  </si>
  <si>
    <t>РАЙПО</t>
  </si>
  <si>
    <t>иное (физ.лиц, ЗАО, КХП, СПК     и др.)</t>
  </si>
  <si>
    <t>Итого по ОАО</t>
  </si>
  <si>
    <t>с долей Республики Беларусь</t>
  </si>
  <si>
    <t>с долей Минской области</t>
  </si>
  <si>
    <t>с долей районов (г.Жодино)</t>
  </si>
  <si>
    <t>всего</t>
  </si>
  <si>
    <t>посл. годы</t>
  </si>
  <si>
    <t>затраты</t>
  </si>
  <si>
    <t>план</t>
  </si>
  <si>
    <t>факт</t>
  </si>
  <si>
    <t>%</t>
  </si>
  <si>
    <t>К 1-2</t>
  </si>
  <si>
    <t>К 3</t>
  </si>
  <si>
    <t>К 4</t>
  </si>
  <si>
    <t>К 5 и более</t>
  </si>
  <si>
    <t>К 1-2.</t>
  </si>
  <si>
    <t>К 3.</t>
  </si>
  <si>
    <t>К 4.</t>
  </si>
  <si>
    <t>К 5 и более.</t>
  </si>
  <si>
    <t>К 1-2..</t>
  </si>
  <si>
    <t>К 3..</t>
  </si>
  <si>
    <t>К 4..</t>
  </si>
  <si>
    <t>К 5 и более..</t>
  </si>
  <si>
    <t>К 1-2…</t>
  </si>
  <si>
    <t>К 3…</t>
  </si>
  <si>
    <t>К 4…</t>
  </si>
  <si>
    <t>К 5 и более…</t>
  </si>
  <si>
    <t>К 1-2….</t>
  </si>
  <si>
    <t>К 3….</t>
  </si>
  <si>
    <t>К 4….</t>
  </si>
  <si>
    <t>К 5 и более….</t>
  </si>
  <si>
    <t>К 1-2…..</t>
  </si>
  <si>
    <t>К 3…..</t>
  </si>
  <si>
    <t>К 4…..</t>
  </si>
  <si>
    <t>К 5 и более…..</t>
  </si>
  <si>
    <t>КАПИТАЛЬНЫЕ СТРОЕНИЯ</t>
  </si>
  <si>
    <t>Плановые затраты на снос, тыс. рублей</t>
  </si>
  <si>
    <t>район50б</t>
  </si>
  <si>
    <t>райпо</t>
  </si>
  <si>
    <t>Мядельский</t>
  </si>
  <si>
    <t>Мядельский район</t>
  </si>
  <si>
    <t>Факт сноса
(снесен)</t>
  </si>
  <si>
    <t>Форма собственности</t>
  </si>
  <si>
    <t xml:space="preserve">ОАО «Слободская заря», аг. Слобода </t>
  </si>
  <si>
    <t xml:space="preserve">ОАО «Свирь-агро»,   г.п. Свирь </t>
  </si>
  <si>
    <t>ОАО «Сватки»,                  аг. Сватки</t>
  </si>
  <si>
    <t xml:space="preserve">ОАО «Занарочанский»,                     аг. Занарочь </t>
  </si>
  <si>
    <t xml:space="preserve">ОАО «Будславское»,    аг. Будслав  </t>
  </si>
  <si>
    <t xml:space="preserve">ОАО «Мядельское агропромэнерго»,                    г. Мядель </t>
  </si>
  <si>
    <t xml:space="preserve">ОАО «Прудники-Агро», д. Прудники          </t>
  </si>
  <si>
    <t>1. Государственное имущество</t>
  </si>
  <si>
    <t>№ п/п</t>
  </si>
  <si>
    <t>2. Объекты, находящиеся в собственности хозяйственных обществ с долей Мядельского района более 50 процентов</t>
  </si>
  <si>
    <t>3. Иная частная собственность</t>
  </si>
  <si>
    <t>1.3. Объекты, находящиеся в собственности Мядельского района</t>
  </si>
  <si>
    <t>Фото временно отсутствует</t>
  </si>
  <si>
    <t>Объекты находящиеся в собственности г.Минска</t>
  </si>
  <si>
    <t>Объекты находящиеся в собственности  Минской области</t>
  </si>
  <si>
    <t>Мядельский район,     д.Старлыги</t>
  </si>
  <si>
    <t>здания бывшего склада</t>
  </si>
  <si>
    <t>Мядельский район,     д.Хоневичи</t>
  </si>
  <si>
    <r>
      <t xml:space="preserve">ОАО «Сватки», д. Прудники          </t>
    </r>
    <r>
      <rPr>
        <b/>
        <sz val="9"/>
        <color theme="1"/>
        <rFont val="Times New Roman"/>
        <family val="1"/>
        <charset val="204"/>
      </rPr>
      <t>Доля Мядельского района - 97,18%</t>
    </r>
  </si>
  <si>
    <t>ОСП «Узлянка», аг.Узлянка 
Узлянка ОСП ТУП Минский комаровский рынок</t>
  </si>
  <si>
    <t>склад зерновой</t>
  </si>
  <si>
    <t>коровник</t>
  </si>
  <si>
    <t>детский сад,                 № 139</t>
  </si>
  <si>
    <t>Склад дощатый</t>
  </si>
  <si>
    <t>область50б</t>
  </si>
  <si>
    <r>
      <t xml:space="preserve">2. </t>
    </r>
    <r>
      <rPr>
        <b/>
        <sz val="9"/>
        <color theme="1"/>
        <rFont val="Times New Roman"/>
        <family val="1"/>
        <charset val="204"/>
      </rPr>
      <t>Объекты, находящиеся в собственности хозяйственных обществ с долей Мядельского района более 50 процентов</t>
    </r>
  </si>
  <si>
    <t xml:space="preserve"> </t>
  </si>
  <si>
    <t>дом животновода</t>
  </si>
  <si>
    <t>сельскохозяйственое</t>
  </si>
  <si>
    <t>ОАО "Мінскоблагросервис",  Минский район,п.Юбилейный, ул.Коммунальная, 4 УНП600013451</t>
  </si>
  <si>
    <t xml:space="preserve">Здание неустановленного назначения Общежитие </t>
  </si>
  <si>
    <t>Комплекс</t>
  </si>
  <si>
    <t>Мядельский район, д.Олешки 360</t>
  </si>
  <si>
    <t>Мядельский район,           д. Олешки 49</t>
  </si>
  <si>
    <t>Мядельский район,    д. Бакшты 010</t>
  </si>
  <si>
    <t>снос в 2026 г.</t>
  </si>
  <si>
    <t>2030и позднее</t>
  </si>
  <si>
    <t>2030 и позднее</t>
  </si>
  <si>
    <t>Первый заместитель председателя-начальник управления по сельскому хозяйству и продовольствию</t>
  </si>
  <si>
    <t>А.В.Морозов</t>
  </si>
  <si>
    <t xml:space="preserve">Утверждаю: </t>
  </si>
  <si>
    <t>подлежащих сносу на 2026 год</t>
  </si>
  <si>
    <r>
      <t>ОАО "Мядельагросервис" , г.Мядель</t>
    </r>
    <r>
      <rPr>
        <i/>
        <sz val="9"/>
        <color theme="1"/>
        <rFont val="Times New Roman"/>
        <family val="1"/>
        <charset val="204"/>
      </rPr>
      <t xml:space="preserve"> («Слободская заря»)       </t>
    </r>
    <r>
      <rPr>
        <sz val="9"/>
        <color theme="1"/>
        <rFont val="Times New Roman"/>
        <family val="1"/>
        <charset val="204"/>
      </rPr>
      <t xml:space="preserve">  </t>
    </r>
  </si>
  <si>
    <t>Перечень  неиспользуемых и неэффективно используемых нежилых объектов недвимжимого имущества подлежащих сносу</t>
  </si>
  <si>
    <t>Сектор культуры  Мядельского райисполкома, г.Мядель, ул.Шаранговича 2</t>
  </si>
  <si>
    <t>Управление по образованию и спорту Мядельского райисполкома,  г.Мядель, пл.Шаранговича</t>
  </si>
  <si>
    <t>УП «Мядельское жилищно-коммунальное хозяйство», г.Мядель, ул. Интернациональная, 25</t>
  </si>
  <si>
    <t xml:space="preserve">Главный специалист отдела экономики </t>
  </si>
  <si>
    <t>Л.Г.Даниленко</t>
  </si>
  <si>
    <t>снесен</t>
  </si>
  <si>
    <t>Мядельский район,   д. Лукашевичи</t>
  </si>
  <si>
    <t>Мядельский район,   д. Засвирь</t>
  </si>
  <si>
    <t>Магазин</t>
  </si>
  <si>
    <t>Здание магазина №110034</t>
  </si>
  <si>
    <t>Мядельский район,       д.Воробьи</t>
  </si>
  <si>
    <t>Здание магазина  №300076</t>
  </si>
  <si>
    <t>Мядельский район,       д.Нарейши</t>
  </si>
  <si>
    <t>Магазин,                  № 300088</t>
  </si>
  <si>
    <t>2,0/собственные средства</t>
  </si>
  <si>
    <t>добавлен 06.05.2026 на основании данных райпо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</si>
</sst>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2"/>
      <charset val="204"/>
    </font>
    <font>
      <b/>
      <sz val="14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BD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11" borderId="28" xfId="0" applyFont="1" applyFill="1" applyBorder="1" applyAlignment="1" applyProtection="1">
      <alignment horizontal="center" vertical="center" wrapText="1"/>
      <protection locked="0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7" fillId="14" borderId="35" xfId="0" applyFont="1" applyFill="1" applyBorder="1" applyProtection="1"/>
    <xf numFmtId="0" fontId="8" fillId="0" borderId="4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164" fontId="9" fillId="9" borderId="4" xfId="0" applyNumberFormat="1" applyFont="1" applyFill="1" applyBorder="1" applyAlignment="1" applyProtection="1">
      <alignment horizontal="center"/>
    </xf>
    <xf numFmtId="0" fontId="8" fillId="0" borderId="36" xfId="0" applyFont="1" applyFill="1" applyBorder="1" applyAlignment="1" applyProtection="1">
      <alignment horizontal="center"/>
    </xf>
    <xf numFmtId="0" fontId="8" fillId="0" borderId="35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164" fontId="9" fillId="11" borderId="4" xfId="0" applyNumberFormat="1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164" fontId="9" fillId="0" borderId="23" xfId="0" applyNumberFormat="1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20" xfId="0" applyFont="1" applyFill="1" applyBorder="1" applyAlignment="1" applyProtection="1">
      <alignment horizontal="center"/>
    </xf>
    <xf numFmtId="0" fontId="8" fillId="5" borderId="23" xfId="0" applyFont="1" applyFill="1" applyBorder="1" applyAlignment="1" applyProtection="1">
      <alignment horizontal="center"/>
    </xf>
    <xf numFmtId="164" fontId="9" fillId="5" borderId="23" xfId="0" applyNumberFormat="1" applyFont="1" applyFill="1" applyBorder="1" applyAlignment="1" applyProtection="1">
      <alignment horizontal="center"/>
    </xf>
    <xf numFmtId="0" fontId="8" fillId="6" borderId="23" xfId="0" applyFont="1" applyFill="1" applyBorder="1" applyAlignment="1" applyProtection="1">
      <alignment horizontal="center"/>
    </xf>
    <xf numFmtId="0" fontId="8" fillId="8" borderId="23" xfId="0" applyFont="1" applyFill="1" applyBorder="1" applyAlignment="1" applyProtection="1">
      <alignment horizontal="center"/>
    </xf>
    <xf numFmtId="164" fontId="9" fillId="8" borderId="23" xfId="0" applyNumberFormat="1" applyFont="1" applyFill="1" applyBorder="1" applyAlignment="1" applyProtection="1">
      <alignment horizontal="center"/>
    </xf>
    <xf numFmtId="0" fontId="8" fillId="9" borderId="23" xfId="0" applyFont="1" applyFill="1" applyBorder="1" applyAlignment="1" applyProtection="1">
      <alignment horizontal="center"/>
    </xf>
    <xf numFmtId="0" fontId="8" fillId="10" borderId="23" xfId="0" applyFont="1" applyFill="1" applyBorder="1" applyAlignment="1" applyProtection="1">
      <alignment horizontal="center"/>
    </xf>
    <xf numFmtId="0" fontId="8" fillId="13" borderId="20" xfId="0" applyFont="1" applyFill="1" applyBorder="1" applyAlignment="1" applyProtection="1">
      <alignment horizontal="center"/>
    </xf>
    <xf numFmtId="0" fontId="6" fillId="0" borderId="0" xfId="0" applyFont="1" applyFill="1" applyProtection="1">
      <protection locked="0"/>
    </xf>
    <xf numFmtId="0" fontId="6" fillId="0" borderId="17" xfId="0" applyFont="1" applyBorder="1" applyProtection="1"/>
    <xf numFmtId="0" fontId="10" fillId="0" borderId="1" xfId="0" applyFont="1" applyFill="1" applyBorder="1" applyAlignment="1" applyProtection="1">
      <alignment horizontal="center"/>
    </xf>
    <xf numFmtId="0" fontId="10" fillId="9" borderId="1" xfId="0" applyFont="1" applyFill="1" applyBorder="1" applyAlignment="1" applyProtection="1">
      <alignment horizontal="center"/>
    </xf>
    <xf numFmtId="164" fontId="0" fillId="9" borderId="1" xfId="0" applyNumberFormat="1" applyFont="1" applyFill="1" applyBorder="1" applyAlignment="1" applyProtection="1">
      <alignment horizontal="center"/>
    </xf>
    <xf numFmtId="0" fontId="10" fillId="0" borderId="26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center"/>
    </xf>
    <xf numFmtId="0" fontId="10" fillId="11" borderId="1" xfId="0" applyFont="1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center"/>
    </xf>
    <xf numFmtId="164" fontId="0" fillId="0" borderId="1" xfId="0" applyNumberFormat="1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center"/>
    </xf>
    <xf numFmtId="164" fontId="0" fillId="5" borderId="1" xfId="0" applyNumberFormat="1" applyFont="1" applyFill="1" applyBorder="1" applyAlignment="1" applyProtection="1">
      <alignment horizontal="center"/>
    </xf>
    <xf numFmtId="0" fontId="10" fillId="6" borderId="1" xfId="0" applyFont="1" applyFill="1" applyBorder="1" applyAlignment="1" applyProtection="1">
      <alignment horizontal="center"/>
    </xf>
    <xf numFmtId="164" fontId="0" fillId="8" borderId="1" xfId="0" applyNumberFormat="1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center"/>
    </xf>
    <xf numFmtId="0" fontId="10" fillId="13" borderId="9" xfId="0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10" fillId="0" borderId="17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0" fontId="6" fillId="8" borderId="17" xfId="0" applyFont="1" applyFill="1" applyBorder="1" applyProtection="1"/>
    <xf numFmtId="0" fontId="10" fillId="8" borderId="26" xfId="0" applyFont="1" applyFill="1" applyBorder="1" applyAlignment="1" applyProtection="1">
      <alignment horizontal="center"/>
    </xf>
    <xf numFmtId="0" fontId="10" fillId="8" borderId="17" xfId="0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center"/>
    </xf>
    <xf numFmtId="0" fontId="8" fillId="8" borderId="26" xfId="0" applyFont="1" applyFill="1" applyBorder="1" applyAlignment="1" applyProtection="1">
      <alignment horizontal="center"/>
    </xf>
    <xf numFmtId="0" fontId="10" fillId="8" borderId="9" xfId="0" applyFont="1" applyFill="1" applyBorder="1" applyAlignment="1" applyProtection="1">
      <alignment horizontal="center"/>
    </xf>
    <xf numFmtId="0" fontId="8" fillId="8" borderId="9" xfId="0" applyFont="1" applyFill="1" applyBorder="1" applyAlignment="1" applyProtection="1">
      <alignment horizontal="center"/>
    </xf>
    <xf numFmtId="0" fontId="8" fillId="6" borderId="1" xfId="0" applyFont="1" applyFill="1" applyBorder="1" applyAlignment="1" applyProtection="1">
      <alignment horizontal="center"/>
    </xf>
    <xf numFmtId="164" fontId="12" fillId="8" borderId="1" xfId="0" applyNumberFormat="1" applyFont="1" applyFill="1" applyBorder="1" applyAlignment="1" applyProtection="1">
      <alignment horizontal="center"/>
    </xf>
    <xf numFmtId="0" fontId="8" fillId="0" borderId="17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164" fontId="9" fillId="5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0" fontId="6" fillId="8" borderId="17" xfId="0" applyFont="1" applyFill="1" applyBorder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/>
    </xf>
    <xf numFmtId="0" fontId="6" fillId="0" borderId="27" xfId="0" applyFont="1" applyBorder="1" applyProtection="1"/>
    <xf numFmtId="0" fontId="10" fillId="0" borderId="28" xfId="0" applyFont="1" applyFill="1" applyBorder="1" applyAlignment="1" applyProtection="1">
      <alignment horizontal="center"/>
    </xf>
    <xf numFmtId="0" fontId="10" fillId="9" borderId="28" xfId="0" applyFont="1" applyFill="1" applyBorder="1" applyAlignment="1" applyProtection="1">
      <alignment horizontal="center"/>
    </xf>
    <xf numFmtId="164" fontId="0" fillId="9" borderId="28" xfId="0" applyNumberFormat="1" applyFont="1" applyFill="1" applyBorder="1" applyAlignment="1" applyProtection="1">
      <alignment horizontal="center"/>
    </xf>
    <xf numFmtId="0" fontId="10" fillId="0" borderId="37" xfId="0" applyFont="1" applyFill="1" applyBorder="1" applyAlignment="1" applyProtection="1">
      <alignment horizontal="center"/>
    </xf>
    <xf numFmtId="0" fontId="10" fillId="0" borderId="27" xfId="0" applyFont="1" applyFill="1" applyBorder="1" applyAlignment="1" applyProtection="1">
      <alignment horizontal="center"/>
    </xf>
    <xf numFmtId="0" fontId="10" fillId="11" borderId="28" xfId="0" applyFont="1" applyFill="1" applyBorder="1" applyAlignment="1" applyProtection="1">
      <alignment horizontal="center"/>
    </xf>
    <xf numFmtId="164" fontId="0" fillId="11" borderId="28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164" fontId="0" fillId="0" borderId="28" xfId="0" applyNumberFormat="1" applyFont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5" borderId="28" xfId="0" applyFont="1" applyFill="1" applyBorder="1" applyAlignment="1" applyProtection="1">
      <alignment horizontal="center"/>
    </xf>
    <xf numFmtId="164" fontId="0" fillId="5" borderId="28" xfId="0" applyNumberFormat="1" applyFont="1" applyFill="1" applyBorder="1" applyAlignment="1" applyProtection="1">
      <alignment horizontal="center"/>
    </xf>
    <xf numFmtId="0" fontId="10" fillId="6" borderId="28" xfId="0" applyFont="1" applyFill="1" applyBorder="1" applyAlignment="1" applyProtection="1">
      <alignment horizontal="center"/>
    </xf>
    <xf numFmtId="164" fontId="0" fillId="8" borderId="28" xfId="0" applyNumberFormat="1" applyFont="1" applyFill="1" applyBorder="1" applyAlignment="1" applyProtection="1">
      <alignment horizontal="center"/>
    </xf>
    <xf numFmtId="0" fontId="10" fillId="8" borderId="28" xfId="0" applyFont="1" applyFill="1" applyBorder="1" applyAlignment="1" applyProtection="1">
      <alignment horizontal="center"/>
    </xf>
    <xf numFmtId="0" fontId="10" fillId="10" borderId="28" xfId="0" applyFont="1" applyFill="1" applyBorder="1" applyAlignment="1" applyProtection="1">
      <alignment horizontal="center"/>
    </xf>
    <xf numFmtId="0" fontId="10" fillId="13" borderId="30" xfId="0" applyFont="1" applyFill="1" applyBorder="1" applyAlignment="1" applyProtection="1">
      <alignment horizontal="center"/>
    </xf>
    <xf numFmtId="0" fontId="10" fillId="0" borderId="32" xfId="0" applyFont="1" applyBorder="1" applyAlignment="1" applyProtection="1">
      <alignment horizontal="center"/>
    </xf>
    <xf numFmtId="0" fontId="10" fillId="5" borderId="2" xfId="0" applyFont="1" applyFill="1" applyBorder="1" applyAlignment="1" applyProtection="1">
      <alignment horizontal="center"/>
    </xf>
    <xf numFmtId="164" fontId="0" fillId="5" borderId="2" xfId="0" applyNumberFormat="1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25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center"/>
    </xf>
    <xf numFmtId="0" fontId="13" fillId="15" borderId="0" xfId="0" applyFont="1" applyFill="1" applyBorder="1" applyProtection="1"/>
    <xf numFmtId="0" fontId="0" fillId="15" borderId="0" xfId="0" applyFill="1"/>
    <xf numFmtId="164" fontId="9" fillId="9" borderId="23" xfId="0" applyNumberFormat="1" applyFont="1" applyFill="1" applyBorder="1" applyAlignment="1" applyProtection="1">
      <alignment horizontal="center"/>
    </xf>
    <xf numFmtId="0" fontId="8" fillId="11" borderId="23" xfId="0" applyFont="1" applyFill="1" applyBorder="1" applyAlignment="1" applyProtection="1">
      <alignment horizontal="center"/>
    </xf>
    <xf numFmtId="164" fontId="9" fillId="11" borderId="23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12" borderId="2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5" fillId="8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" fillId="8" borderId="1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15" fillId="8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1" fillId="8" borderId="1" xfId="0" applyFont="1" applyFill="1" applyBorder="1" applyAlignment="1" applyProtection="1">
      <alignment horizontal="center" vertical="top" wrapText="1"/>
    </xf>
    <xf numFmtId="0" fontId="1" fillId="8" borderId="3" xfId="0" applyFont="1" applyFill="1" applyBorder="1" applyAlignment="1" applyProtection="1">
      <alignment vertical="top" wrapText="1"/>
    </xf>
    <xf numFmtId="0" fontId="1" fillId="8" borderId="4" xfId="0" applyFont="1" applyFill="1" applyBorder="1" applyAlignment="1" applyProtection="1">
      <alignment vertical="top" wrapText="1"/>
    </xf>
    <xf numFmtId="0" fontId="1" fillId="8" borderId="2" xfId="0" applyFont="1" applyFill="1" applyBorder="1" applyAlignment="1" applyProtection="1">
      <alignment vertical="top" wrapText="1"/>
    </xf>
    <xf numFmtId="0" fontId="1" fillId="8" borderId="2" xfId="0" applyFont="1" applyFill="1" applyBorder="1" applyAlignment="1" applyProtection="1">
      <alignment horizontal="left" vertical="top" wrapText="1"/>
    </xf>
    <xf numFmtId="0" fontId="1" fillId="8" borderId="3" xfId="0" applyFont="1" applyFill="1" applyBorder="1" applyAlignment="1" applyProtection="1">
      <alignment horizontal="left" vertical="top" wrapText="1"/>
    </xf>
    <xf numFmtId="0" fontId="1" fillId="8" borderId="4" xfId="0" applyFont="1" applyFill="1" applyBorder="1" applyAlignment="1" applyProtection="1">
      <alignment horizontal="left" vertical="top" wrapText="1"/>
    </xf>
    <xf numFmtId="0" fontId="17" fillId="0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14" fontId="2" fillId="0" borderId="0" xfId="0" applyNumberFormat="1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1" fillId="8" borderId="1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8" borderId="1" xfId="0" applyFont="1" applyFill="1" applyBorder="1" applyAlignment="1" applyProtection="1">
      <alignment horizontal="center" vertical="top"/>
    </xf>
    <xf numFmtId="0" fontId="19" fillId="8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8" borderId="6" xfId="0" applyFont="1" applyFill="1" applyBorder="1" applyAlignment="1" applyProtection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1" fillId="0" borderId="38" xfId="0" applyFont="1" applyBorder="1" applyAlignment="1" applyProtection="1">
      <alignment vertical="top" wrapText="1"/>
      <protection locked="0"/>
    </xf>
    <xf numFmtId="0" fontId="1" fillId="8" borderId="3" xfId="0" applyFont="1" applyFill="1" applyBorder="1" applyAlignment="1" applyProtection="1">
      <alignment horizontal="center" vertical="top" wrapText="1"/>
    </xf>
    <xf numFmtId="0" fontId="1" fillId="8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8" borderId="0" xfId="0" applyFon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20" fillId="0" borderId="0" xfId="0" applyFont="1" applyProtection="1">
      <protection locked="0"/>
    </xf>
    <xf numFmtId="0" fontId="2" fillId="8" borderId="1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 wrapText="1"/>
    </xf>
    <xf numFmtId="14" fontId="1" fillId="0" borderId="0" xfId="0" applyNumberFormat="1" applyFont="1" applyProtection="1"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164" fontId="1" fillId="8" borderId="1" xfId="0" applyNumberFormat="1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39" xfId="0" applyFont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28" xfId="0" applyFont="1" applyFill="1" applyBorder="1" applyAlignment="1" applyProtection="1">
      <alignment horizontal="center" vertical="center" wrapText="1"/>
      <protection locked="0"/>
    </xf>
    <xf numFmtId="0" fontId="6" fillId="12" borderId="25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3" borderId="9" xfId="0" applyFont="1" applyFill="1" applyBorder="1" applyAlignment="1" applyProtection="1">
      <alignment horizontal="center" vertical="center" wrapText="1"/>
      <protection locked="0"/>
    </xf>
    <xf numFmtId="0" fontId="6" fillId="13" borderId="30" xfId="0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wrapText="1"/>
      <protection locked="0"/>
    </xf>
    <xf numFmtId="0" fontId="6" fillId="5" borderId="12" xfId="0" applyFont="1" applyFill="1" applyBorder="1" applyAlignment="1" applyProtection="1">
      <alignment horizontal="center" wrapText="1"/>
      <protection locked="0"/>
    </xf>
    <xf numFmtId="0" fontId="6" fillId="5" borderId="13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horizont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9" borderId="7" xfId="0" applyFont="1" applyFill="1" applyBorder="1" applyAlignment="1" applyProtection="1">
      <alignment horizontal="center" vertical="center" wrapText="1"/>
      <protection locked="0"/>
    </xf>
    <xf numFmtId="0" fontId="6" fillId="9" borderId="8" xfId="0" applyFont="1" applyFill="1" applyBorder="1" applyAlignment="1" applyProtection="1">
      <alignment horizontal="center" vertical="center" wrapText="1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6" fillId="10" borderId="8" xfId="0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60813</xdr:colOff>
      <xdr:row>13</xdr:row>
      <xdr:rowOff>29308</xdr:rowOff>
    </xdr:from>
    <xdr:to>
      <xdr:col>11</xdr:col>
      <xdr:colOff>1032363</xdr:colOff>
      <xdr:row>13</xdr:row>
      <xdr:rowOff>417635</xdr:rowOff>
    </xdr:to>
    <xdr:pic>
      <xdr:nvPicPr>
        <xdr:cNvPr id="9" name="Рисунок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1638" y="4172683"/>
          <a:ext cx="971550" cy="38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49823</xdr:colOff>
      <xdr:row>14</xdr:row>
      <xdr:rowOff>33703</xdr:rowOff>
    </xdr:from>
    <xdr:to>
      <xdr:col>12</xdr:col>
      <xdr:colOff>10697</xdr:colOff>
      <xdr:row>14</xdr:row>
      <xdr:rowOff>527098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069" y="6645518"/>
          <a:ext cx="106870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42496</xdr:colOff>
      <xdr:row>16</xdr:row>
      <xdr:rowOff>37367</xdr:rowOff>
    </xdr:from>
    <xdr:to>
      <xdr:col>11</xdr:col>
      <xdr:colOff>1061671</xdr:colOff>
      <xdr:row>16</xdr:row>
      <xdr:rowOff>456467</xdr:rowOff>
    </xdr:to>
    <xdr:pic>
      <xdr:nvPicPr>
        <xdr:cNvPr id="12" name="Рисунок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592" y="9474444"/>
          <a:ext cx="1019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68873</xdr:colOff>
      <xdr:row>17</xdr:row>
      <xdr:rowOff>46893</xdr:rowOff>
    </xdr:from>
    <xdr:to>
      <xdr:col>11</xdr:col>
      <xdr:colOff>1068998</xdr:colOff>
      <xdr:row>17</xdr:row>
      <xdr:rowOff>456468</xdr:rowOff>
    </xdr:to>
    <xdr:pic>
      <xdr:nvPicPr>
        <xdr:cNvPr id="13" name="Рисунок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969" y="9967547"/>
          <a:ext cx="1000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19</xdr:row>
      <xdr:rowOff>28575</xdr:rowOff>
    </xdr:from>
    <xdr:to>
      <xdr:col>11</xdr:col>
      <xdr:colOff>1033096</xdr:colOff>
      <xdr:row>20</xdr:row>
      <xdr:rowOff>2930</xdr:rowOff>
    </xdr:to>
    <xdr:pic>
      <xdr:nvPicPr>
        <xdr:cNvPr id="19" name="Рисунок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13429517"/>
          <a:ext cx="96642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20</xdr:row>
      <xdr:rowOff>22860</xdr:rowOff>
    </xdr:from>
    <xdr:to>
      <xdr:col>11</xdr:col>
      <xdr:colOff>986790</xdr:colOff>
      <xdr:row>20</xdr:row>
      <xdr:rowOff>647929</xdr:rowOff>
    </xdr:to>
    <xdr:pic>
      <xdr:nvPicPr>
        <xdr:cNvPr id="20" name="Рисунок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9425940"/>
          <a:ext cx="948690" cy="625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22</xdr:row>
      <xdr:rowOff>58616</xdr:rowOff>
    </xdr:from>
    <xdr:to>
      <xdr:col>11</xdr:col>
      <xdr:colOff>1025769</xdr:colOff>
      <xdr:row>22</xdr:row>
      <xdr:rowOff>552450</xdr:rowOff>
    </xdr:to>
    <xdr:pic>
      <xdr:nvPicPr>
        <xdr:cNvPr id="89" name="Рисунок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147" y="14521962"/>
          <a:ext cx="1006718" cy="493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23</xdr:row>
      <xdr:rowOff>36635</xdr:rowOff>
    </xdr:from>
    <xdr:to>
      <xdr:col>11</xdr:col>
      <xdr:colOff>1047750</xdr:colOff>
      <xdr:row>23</xdr:row>
      <xdr:rowOff>432288</xdr:rowOff>
    </xdr:to>
    <xdr:pic>
      <xdr:nvPicPr>
        <xdr:cNvPr id="91" name="Рисунок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4939597"/>
          <a:ext cx="1011115" cy="39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24</xdr:row>
      <xdr:rowOff>30773</xdr:rowOff>
    </xdr:from>
    <xdr:to>
      <xdr:col>11</xdr:col>
      <xdr:colOff>1018442</xdr:colOff>
      <xdr:row>24</xdr:row>
      <xdr:rowOff>417634</xdr:rowOff>
    </xdr:to>
    <xdr:pic>
      <xdr:nvPicPr>
        <xdr:cNvPr id="92" name="Рисунок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5966831"/>
          <a:ext cx="981807" cy="386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25</xdr:row>
      <xdr:rowOff>21981</xdr:rowOff>
    </xdr:from>
    <xdr:to>
      <xdr:col>11</xdr:col>
      <xdr:colOff>1055077</xdr:colOff>
      <xdr:row>25</xdr:row>
      <xdr:rowOff>432289</xdr:rowOff>
    </xdr:to>
    <xdr:pic>
      <xdr:nvPicPr>
        <xdr:cNvPr id="93" name="Рисунок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6412308"/>
          <a:ext cx="1018442" cy="410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</xdr:row>
      <xdr:rowOff>29308</xdr:rowOff>
    </xdr:from>
    <xdr:to>
      <xdr:col>11</xdr:col>
      <xdr:colOff>1033096</xdr:colOff>
      <xdr:row>26</xdr:row>
      <xdr:rowOff>424962</xdr:rowOff>
    </xdr:to>
    <xdr:pic>
      <xdr:nvPicPr>
        <xdr:cNvPr id="94" name="Рисунок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671" y="16873904"/>
          <a:ext cx="1004521" cy="39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43962</xdr:colOff>
      <xdr:row>27</xdr:row>
      <xdr:rowOff>21982</xdr:rowOff>
    </xdr:from>
    <xdr:to>
      <xdr:col>11</xdr:col>
      <xdr:colOff>1040423</xdr:colOff>
      <xdr:row>27</xdr:row>
      <xdr:rowOff>432289</xdr:rowOff>
    </xdr:to>
    <xdr:pic>
      <xdr:nvPicPr>
        <xdr:cNvPr id="95" name="Рисунок 1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8" y="17320847"/>
          <a:ext cx="996461" cy="410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36636</xdr:colOff>
      <xdr:row>28</xdr:row>
      <xdr:rowOff>19050</xdr:rowOff>
    </xdr:from>
    <xdr:to>
      <xdr:col>11</xdr:col>
      <xdr:colOff>1003790</xdr:colOff>
      <xdr:row>28</xdr:row>
      <xdr:rowOff>373673</xdr:rowOff>
    </xdr:to>
    <xdr:pic>
      <xdr:nvPicPr>
        <xdr:cNvPr id="96" name="Рисунок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2" y="17105435"/>
          <a:ext cx="967154" cy="35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29</xdr:row>
      <xdr:rowOff>47626</xdr:rowOff>
    </xdr:from>
    <xdr:to>
      <xdr:col>11</xdr:col>
      <xdr:colOff>1018442</xdr:colOff>
      <xdr:row>29</xdr:row>
      <xdr:rowOff>410308</xdr:rowOff>
    </xdr:to>
    <xdr:pic>
      <xdr:nvPicPr>
        <xdr:cNvPr id="98" name="Рисунок 267" descr="C:\Users\User\Pictures\2016-12-28 свирь\свирь 029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296" y="18738607"/>
          <a:ext cx="942242" cy="36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27842</xdr:colOff>
      <xdr:row>30</xdr:row>
      <xdr:rowOff>37368</xdr:rowOff>
    </xdr:from>
    <xdr:to>
      <xdr:col>11</xdr:col>
      <xdr:colOff>1018442</xdr:colOff>
      <xdr:row>30</xdr:row>
      <xdr:rowOff>427893</xdr:rowOff>
    </xdr:to>
    <xdr:pic>
      <xdr:nvPicPr>
        <xdr:cNvPr id="99" name="Рисунок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938" y="19182618"/>
          <a:ext cx="990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96569</xdr:colOff>
      <xdr:row>31</xdr:row>
      <xdr:rowOff>19929</xdr:rowOff>
    </xdr:from>
    <xdr:to>
      <xdr:col>11</xdr:col>
      <xdr:colOff>1079109</xdr:colOff>
      <xdr:row>31</xdr:row>
      <xdr:rowOff>404739</xdr:rowOff>
    </xdr:to>
    <xdr:pic>
      <xdr:nvPicPr>
        <xdr:cNvPr id="100" name="Рисунок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989" y="15115149"/>
          <a:ext cx="98254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58616</xdr:colOff>
      <xdr:row>32</xdr:row>
      <xdr:rowOff>41031</xdr:rowOff>
    </xdr:from>
    <xdr:to>
      <xdr:col>11</xdr:col>
      <xdr:colOff>1025770</xdr:colOff>
      <xdr:row>32</xdr:row>
      <xdr:rowOff>539261</xdr:rowOff>
    </xdr:to>
    <xdr:pic>
      <xdr:nvPicPr>
        <xdr:cNvPr id="101" name="Рисунок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3862" y="19208262"/>
          <a:ext cx="967154" cy="49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34</xdr:row>
      <xdr:rowOff>28575</xdr:rowOff>
    </xdr:from>
    <xdr:to>
      <xdr:col>11</xdr:col>
      <xdr:colOff>1040423</xdr:colOff>
      <xdr:row>34</xdr:row>
      <xdr:rowOff>704850</xdr:rowOff>
    </xdr:to>
    <xdr:pic>
      <xdr:nvPicPr>
        <xdr:cNvPr id="102" name="Рисунок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6383000"/>
          <a:ext cx="98327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43961</xdr:colOff>
      <xdr:row>35</xdr:row>
      <xdr:rowOff>24911</xdr:rowOff>
    </xdr:from>
    <xdr:to>
      <xdr:col>11</xdr:col>
      <xdr:colOff>1025036</xdr:colOff>
      <xdr:row>35</xdr:row>
      <xdr:rowOff>405911</xdr:rowOff>
    </xdr:to>
    <xdr:pic>
      <xdr:nvPicPr>
        <xdr:cNvPr id="103" name="Рисунок 231" descr="3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7" y="20987238"/>
          <a:ext cx="981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36</xdr:row>
      <xdr:rowOff>19051</xdr:rowOff>
    </xdr:from>
    <xdr:to>
      <xdr:col>11</xdr:col>
      <xdr:colOff>1040423</xdr:colOff>
      <xdr:row>36</xdr:row>
      <xdr:rowOff>446942</xdr:rowOff>
    </xdr:to>
    <xdr:pic>
      <xdr:nvPicPr>
        <xdr:cNvPr id="104" name="Рисунок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1435647"/>
          <a:ext cx="992798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64477</xdr:colOff>
      <xdr:row>43</xdr:row>
      <xdr:rowOff>41032</xdr:rowOff>
    </xdr:from>
    <xdr:to>
      <xdr:col>11</xdr:col>
      <xdr:colOff>1033096</xdr:colOff>
      <xdr:row>43</xdr:row>
      <xdr:rowOff>549520</xdr:rowOff>
    </xdr:to>
    <xdr:pic>
      <xdr:nvPicPr>
        <xdr:cNvPr id="105" name="Рисунок 165" descr="IMG_567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573" y="21208513"/>
          <a:ext cx="968619" cy="508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44</xdr:row>
      <xdr:rowOff>19050</xdr:rowOff>
    </xdr:from>
    <xdr:to>
      <xdr:col>11</xdr:col>
      <xdr:colOff>1040423</xdr:colOff>
      <xdr:row>44</xdr:row>
      <xdr:rowOff>424961</xdr:rowOff>
    </xdr:to>
    <xdr:pic>
      <xdr:nvPicPr>
        <xdr:cNvPr id="107" name="Рисунок 278" descr="IMG_571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20527108"/>
          <a:ext cx="973748" cy="405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95251</xdr:colOff>
      <xdr:row>45</xdr:row>
      <xdr:rowOff>36635</xdr:rowOff>
    </xdr:from>
    <xdr:to>
      <xdr:col>11</xdr:col>
      <xdr:colOff>1033097</xdr:colOff>
      <xdr:row>45</xdr:row>
      <xdr:rowOff>454269</xdr:rowOff>
    </xdr:to>
    <xdr:pic>
      <xdr:nvPicPr>
        <xdr:cNvPr id="108" name="Рисунок 215" descr="IMG_57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21020943"/>
          <a:ext cx="937846" cy="41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76201</xdr:colOff>
      <xdr:row>46</xdr:row>
      <xdr:rowOff>36634</xdr:rowOff>
    </xdr:from>
    <xdr:to>
      <xdr:col>11</xdr:col>
      <xdr:colOff>1033097</xdr:colOff>
      <xdr:row>47</xdr:row>
      <xdr:rowOff>2931</xdr:rowOff>
    </xdr:to>
    <xdr:pic>
      <xdr:nvPicPr>
        <xdr:cNvPr id="109" name="Рисунок 217" descr="IMG_573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297" y="23959038"/>
          <a:ext cx="956896" cy="4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64</xdr:row>
      <xdr:rowOff>29306</xdr:rowOff>
    </xdr:from>
    <xdr:to>
      <xdr:col>11</xdr:col>
      <xdr:colOff>1055077</xdr:colOff>
      <xdr:row>65</xdr:row>
      <xdr:rowOff>2930</xdr:rowOff>
    </xdr:to>
    <xdr:pic>
      <xdr:nvPicPr>
        <xdr:cNvPr id="116" name="Рисунок 244" descr="Мяд 13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41770787"/>
          <a:ext cx="997927" cy="42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63</xdr:row>
      <xdr:rowOff>38100</xdr:rowOff>
    </xdr:from>
    <xdr:to>
      <xdr:col>11</xdr:col>
      <xdr:colOff>1047750</xdr:colOff>
      <xdr:row>64</xdr:row>
      <xdr:rowOff>0</xdr:rowOff>
    </xdr:to>
    <xdr:pic>
      <xdr:nvPicPr>
        <xdr:cNvPr id="118" name="Рисунок 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40871042"/>
          <a:ext cx="1000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62</xdr:row>
      <xdr:rowOff>28575</xdr:rowOff>
    </xdr:from>
    <xdr:to>
      <xdr:col>11</xdr:col>
      <xdr:colOff>1040423</xdr:colOff>
      <xdr:row>63</xdr:row>
      <xdr:rowOff>2931</xdr:rowOff>
    </xdr:to>
    <xdr:pic>
      <xdr:nvPicPr>
        <xdr:cNvPr id="119" name="Рисунок 102" descr="C:\Users\User\Desktop\Мядель сс неиспользуемое имущество\Мядель сельсовет неиспользуемое имущество\4 Столовая детский сад\P1080012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40407248"/>
          <a:ext cx="97374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45427</xdr:colOff>
      <xdr:row>61</xdr:row>
      <xdr:rowOff>13922</xdr:rowOff>
    </xdr:from>
    <xdr:to>
      <xdr:col>11</xdr:col>
      <xdr:colOff>1047750</xdr:colOff>
      <xdr:row>61</xdr:row>
      <xdr:rowOff>442547</xdr:rowOff>
    </xdr:to>
    <xdr:pic>
      <xdr:nvPicPr>
        <xdr:cNvPr id="120" name="Рисунок 94" descr="DSC0310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523" y="39938326"/>
          <a:ext cx="100232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65941</xdr:colOff>
      <xdr:row>59</xdr:row>
      <xdr:rowOff>42496</xdr:rowOff>
    </xdr:from>
    <xdr:to>
      <xdr:col>11</xdr:col>
      <xdr:colOff>1025768</xdr:colOff>
      <xdr:row>59</xdr:row>
      <xdr:rowOff>422763</xdr:rowOff>
    </xdr:to>
    <xdr:pic>
      <xdr:nvPicPr>
        <xdr:cNvPr id="124" name="Рисунок 123" descr="D:\Документы\гос.имущество\неиспользуемое имущество 2015\ОАО фото май 2015\IMG_6472оао прудники агро ферма пашковщина 22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037" y="36618496"/>
          <a:ext cx="959827" cy="380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57151</xdr:colOff>
      <xdr:row>58</xdr:row>
      <xdr:rowOff>43961</xdr:rowOff>
    </xdr:from>
    <xdr:to>
      <xdr:col>11</xdr:col>
      <xdr:colOff>1018443</xdr:colOff>
      <xdr:row>58</xdr:row>
      <xdr:rowOff>432289</xdr:rowOff>
    </xdr:to>
    <xdr:pic>
      <xdr:nvPicPr>
        <xdr:cNvPr id="125" name="Рисунок 124" descr="D:\Документы\гос.имущество\неиспользуемое имущество 2015\ОАО фото май 2015\IMG_6451оао прудники агро ферма осово21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7" y="37425923"/>
          <a:ext cx="961292" cy="388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47</xdr:row>
      <xdr:rowOff>38100</xdr:rowOff>
    </xdr:from>
    <xdr:to>
      <xdr:col>11</xdr:col>
      <xdr:colOff>1040423</xdr:colOff>
      <xdr:row>48</xdr:row>
      <xdr:rowOff>2931</xdr:rowOff>
    </xdr:to>
    <xdr:pic>
      <xdr:nvPicPr>
        <xdr:cNvPr id="127" name="Рисунок 252" descr="IMG_574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24414773"/>
          <a:ext cx="98327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48</xdr:row>
      <xdr:rowOff>47625</xdr:rowOff>
    </xdr:from>
    <xdr:to>
      <xdr:col>11</xdr:col>
      <xdr:colOff>1047750</xdr:colOff>
      <xdr:row>49</xdr:row>
      <xdr:rowOff>2930</xdr:rowOff>
    </xdr:to>
    <xdr:pic>
      <xdr:nvPicPr>
        <xdr:cNvPr id="128" name="Рисунок 2" descr="IMG_574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22416721"/>
          <a:ext cx="99060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65942</xdr:colOff>
      <xdr:row>49</xdr:row>
      <xdr:rowOff>25644</xdr:rowOff>
    </xdr:from>
    <xdr:to>
      <xdr:col>11</xdr:col>
      <xdr:colOff>1047751</xdr:colOff>
      <xdr:row>49</xdr:row>
      <xdr:rowOff>435220</xdr:rowOff>
    </xdr:to>
    <xdr:pic>
      <xdr:nvPicPr>
        <xdr:cNvPr id="129" name="Рисунок 210" descr="IMG_569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038" y="24556182"/>
          <a:ext cx="981809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50</xdr:row>
      <xdr:rowOff>28575</xdr:rowOff>
    </xdr:from>
    <xdr:to>
      <xdr:col>11</xdr:col>
      <xdr:colOff>1033096</xdr:colOff>
      <xdr:row>51</xdr:row>
      <xdr:rowOff>2931</xdr:rowOff>
    </xdr:to>
    <xdr:pic>
      <xdr:nvPicPr>
        <xdr:cNvPr id="130" name="Рисунок 219" descr="IMG_575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5768056"/>
          <a:ext cx="98547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51</xdr:row>
      <xdr:rowOff>38100</xdr:rowOff>
    </xdr:from>
    <xdr:to>
      <xdr:col>11</xdr:col>
      <xdr:colOff>1025769</xdr:colOff>
      <xdr:row>51</xdr:row>
      <xdr:rowOff>402981</xdr:rowOff>
    </xdr:to>
    <xdr:pic>
      <xdr:nvPicPr>
        <xdr:cNvPr id="131" name="Рисунок 172" descr="IMG_20170612_083332_HD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26231850"/>
          <a:ext cx="959094" cy="36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51289</xdr:colOff>
      <xdr:row>52</xdr:row>
      <xdr:rowOff>4396</xdr:rowOff>
    </xdr:from>
    <xdr:to>
      <xdr:col>11</xdr:col>
      <xdr:colOff>1025770</xdr:colOff>
      <xdr:row>52</xdr:row>
      <xdr:rowOff>442546</xdr:rowOff>
    </xdr:to>
    <xdr:pic>
      <xdr:nvPicPr>
        <xdr:cNvPr id="132" name="Рисунок 208" descr="IMG_567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385" y="26652415"/>
          <a:ext cx="97448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43962</xdr:colOff>
      <xdr:row>53</xdr:row>
      <xdr:rowOff>27842</xdr:rowOff>
    </xdr:from>
    <xdr:to>
      <xdr:col>11</xdr:col>
      <xdr:colOff>1025769</xdr:colOff>
      <xdr:row>53</xdr:row>
      <xdr:rowOff>586153</xdr:rowOff>
    </xdr:to>
    <xdr:pic>
      <xdr:nvPicPr>
        <xdr:cNvPr id="134" name="Рисунок 279" descr="IMG_567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8" y="26683188"/>
          <a:ext cx="981807" cy="558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55</xdr:row>
      <xdr:rowOff>38100</xdr:rowOff>
    </xdr:from>
    <xdr:to>
      <xdr:col>11</xdr:col>
      <xdr:colOff>1011116</xdr:colOff>
      <xdr:row>55</xdr:row>
      <xdr:rowOff>644769</xdr:rowOff>
    </xdr:to>
    <xdr:pic>
      <xdr:nvPicPr>
        <xdr:cNvPr id="135" name="Рисунок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8232100"/>
          <a:ext cx="963491" cy="60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38101</xdr:colOff>
      <xdr:row>56</xdr:row>
      <xdr:rowOff>9526</xdr:rowOff>
    </xdr:from>
    <xdr:to>
      <xdr:col>11</xdr:col>
      <xdr:colOff>1033097</xdr:colOff>
      <xdr:row>56</xdr:row>
      <xdr:rowOff>461596</xdr:rowOff>
    </xdr:to>
    <xdr:pic>
      <xdr:nvPicPr>
        <xdr:cNvPr id="136" name="Рисунок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197" y="27998372"/>
          <a:ext cx="994996" cy="452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57</xdr:row>
      <xdr:rowOff>28575</xdr:rowOff>
    </xdr:from>
    <xdr:to>
      <xdr:col>11</xdr:col>
      <xdr:colOff>1040423</xdr:colOff>
      <xdr:row>58</xdr:row>
      <xdr:rowOff>0</xdr:rowOff>
    </xdr:to>
    <xdr:pic>
      <xdr:nvPicPr>
        <xdr:cNvPr id="143" name="Рисунок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32127825"/>
          <a:ext cx="97374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11723</xdr:colOff>
      <xdr:row>59</xdr:row>
      <xdr:rowOff>410307</xdr:rowOff>
    </xdr:from>
    <xdr:to>
      <xdr:col>12</xdr:col>
      <xdr:colOff>38100</xdr:colOff>
      <xdr:row>61</xdr:row>
      <xdr:rowOff>11724</xdr:rowOff>
    </xdr:to>
    <xdr:pic>
      <xdr:nvPicPr>
        <xdr:cNvPr id="85" name="Рисунок 84" descr="C:\Users\Hello\Desktop\Мядель командировка\20221020_1526482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969" y="36863215"/>
          <a:ext cx="1055077" cy="468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57100</xdr:colOff>
      <xdr:row>32</xdr:row>
      <xdr:rowOff>550986</xdr:rowOff>
    </xdr:from>
    <xdr:to>
      <xdr:col>12</xdr:col>
      <xdr:colOff>39955</xdr:colOff>
      <xdr:row>34</xdr:row>
      <xdr:rowOff>17590</xdr:rowOff>
    </xdr:to>
    <xdr:pic>
      <xdr:nvPicPr>
        <xdr:cNvPr id="87" name="Рисунок 86" descr="C:\Users\Hello\Desktop\Мядель командировка\20221020_122602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121938" y="19458625"/>
          <a:ext cx="492372" cy="101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12</xdr:col>
      <xdr:colOff>76663</xdr:colOff>
      <xdr:row>37</xdr:row>
      <xdr:rowOff>468923</xdr:rowOff>
    </xdr:to>
    <xdr:pic>
      <xdr:nvPicPr>
        <xdr:cNvPr id="88" name="Рисунок 87" descr="20221020_143925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 rotWithShape="1">
        <a:blip xmlns:r="http://schemas.openxmlformats.org/officeDocument/2006/relationships" r:embed="rId43" cstate="print"/>
        <a:srcRect l="1846" t="19913" r="9521" b="23889"/>
        <a:stretch/>
      </xdr:blipFill>
      <xdr:spPr bwMode="auto">
        <a:xfrm>
          <a:off x="6805246" y="21552877"/>
          <a:ext cx="1101969" cy="468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</xdr:colOff>
      <xdr:row>38</xdr:row>
      <xdr:rowOff>0</xdr:rowOff>
    </xdr:from>
    <xdr:to>
      <xdr:col>12</xdr:col>
      <xdr:colOff>76202</xdr:colOff>
      <xdr:row>38</xdr:row>
      <xdr:rowOff>463062</xdr:rowOff>
    </xdr:to>
    <xdr:pic>
      <xdr:nvPicPr>
        <xdr:cNvPr id="154" name="Рисунок 153" descr="20221020_143814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rcRect r="209" b="12109"/>
        <a:stretch>
          <a:fillRect/>
        </a:stretch>
      </xdr:blipFill>
      <xdr:spPr>
        <a:xfrm>
          <a:off x="6805247" y="22033523"/>
          <a:ext cx="1096108" cy="4630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12</xdr:col>
      <xdr:colOff>77666</xdr:colOff>
      <xdr:row>40</xdr:row>
      <xdr:rowOff>17583</xdr:rowOff>
    </xdr:to>
    <xdr:pic>
      <xdr:nvPicPr>
        <xdr:cNvPr id="155" name="Рисунок 154" descr="20221020_143753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rcRect l="2718" t="18660" r="-175" b="15789"/>
        <a:stretch>
          <a:fillRect/>
        </a:stretch>
      </xdr:blipFill>
      <xdr:spPr>
        <a:xfrm>
          <a:off x="6805246" y="22514169"/>
          <a:ext cx="1078523" cy="498231"/>
        </a:xfrm>
        <a:prstGeom prst="rect">
          <a:avLst/>
        </a:prstGeom>
      </xdr:spPr>
    </xdr:pic>
    <xdr:clientData/>
  </xdr:twoCellAnchor>
  <xdr:twoCellAnchor editAs="oneCell">
    <xdr:from>
      <xdr:col>11</xdr:col>
      <xdr:colOff>17586</xdr:colOff>
      <xdr:row>40</xdr:row>
      <xdr:rowOff>29308</xdr:rowOff>
    </xdr:from>
    <xdr:to>
      <xdr:col>12</xdr:col>
      <xdr:colOff>82063</xdr:colOff>
      <xdr:row>40</xdr:row>
      <xdr:rowOff>468923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7" b="14828"/>
        <a:stretch/>
      </xdr:blipFill>
      <xdr:spPr bwMode="auto">
        <a:xfrm>
          <a:off x="6822832" y="23024123"/>
          <a:ext cx="1096108" cy="4396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</xdr:colOff>
      <xdr:row>41</xdr:row>
      <xdr:rowOff>0</xdr:rowOff>
    </xdr:from>
    <xdr:to>
      <xdr:col>12</xdr:col>
      <xdr:colOff>43963</xdr:colOff>
      <xdr:row>41</xdr:row>
      <xdr:rowOff>451338</xdr:rowOff>
    </xdr:to>
    <xdr:pic>
      <xdr:nvPicPr>
        <xdr:cNvPr id="159" name="Рисунок 158" descr="20221020_144633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rcRect t="6712" b="12749"/>
        <a:stretch>
          <a:fillRect/>
        </a:stretch>
      </xdr:blipFill>
      <xdr:spPr>
        <a:xfrm>
          <a:off x="6805247" y="23475462"/>
          <a:ext cx="1072662" cy="451338"/>
        </a:xfrm>
        <a:prstGeom prst="rect">
          <a:avLst/>
        </a:prstGeom>
      </xdr:spPr>
    </xdr:pic>
    <xdr:clientData/>
  </xdr:twoCellAnchor>
  <xdr:twoCellAnchor>
    <xdr:from>
      <xdr:col>11</xdr:col>
      <xdr:colOff>38100</xdr:colOff>
      <xdr:row>15</xdr:row>
      <xdr:rowOff>124264</xdr:rowOff>
    </xdr:from>
    <xdr:to>
      <xdr:col>12</xdr:col>
      <xdr:colOff>23446</xdr:colOff>
      <xdr:row>15</xdr:row>
      <xdr:rowOff>643597</xdr:rowOff>
    </xdr:to>
    <xdr:pic>
      <xdr:nvPicPr>
        <xdr:cNvPr id="162" name="Рисунок 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4802944"/>
          <a:ext cx="1090246" cy="51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</xdr:colOff>
      <xdr:row>69</xdr:row>
      <xdr:rowOff>1</xdr:rowOff>
    </xdr:from>
    <xdr:to>
      <xdr:col>11</xdr:col>
      <xdr:colOff>962026</xdr:colOff>
      <xdr:row>70</xdr:row>
      <xdr:rowOff>4198</xdr:rowOff>
    </xdr:to>
    <xdr:pic>
      <xdr:nvPicPr>
        <xdr:cNvPr id="3" name="Рисунок 302" descr="Островляны">
          <a:extLst>
            <a:ext uri="{FF2B5EF4-FFF2-40B4-BE49-F238E27FC236}">
              <a16:creationId xmlns:a16="http://schemas.microsoft.com/office/drawing/2014/main" id="{C97EADA2-A74D-4020-9849-2909D62E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7" y="32413576"/>
          <a:ext cx="962024" cy="54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12</xdr:col>
      <xdr:colOff>0</xdr:colOff>
      <xdr:row>70</xdr:row>
      <xdr:rowOff>638175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549AFF-01E9-42A6-A7A9-5A5840619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" t="17156" r="58226" b="27975"/>
        <a:stretch/>
      </xdr:blipFill>
      <xdr:spPr>
        <a:xfrm>
          <a:off x="6600825" y="32956500"/>
          <a:ext cx="1000125" cy="638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68</xdr:row>
      <xdr:rowOff>0</xdr:rowOff>
    </xdr:from>
    <xdr:to>
      <xdr:col>12</xdr:col>
      <xdr:colOff>0</xdr:colOff>
      <xdr:row>69</xdr:row>
      <xdr:rowOff>28575</xdr:rowOff>
    </xdr:to>
    <xdr:pic>
      <xdr:nvPicPr>
        <xdr:cNvPr id="5" name="Picture 267" descr="1662114141900">
          <a:extLst>
            <a:ext uri="{FF2B5EF4-FFF2-40B4-BE49-F238E27FC236}">
              <a16:creationId xmlns:a16="http://schemas.microsoft.com/office/drawing/2014/main" id="{55939CFA-9C60-491E-AF5C-AC3568B5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6" y="31965900"/>
          <a:ext cx="100012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70</xdr:row>
      <xdr:rowOff>676275</xdr:rowOff>
    </xdr:from>
    <xdr:to>
      <xdr:col>12</xdr:col>
      <xdr:colOff>38205</xdr:colOff>
      <xdr:row>72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AA6FEB6-E450-4C0C-9E6B-9FEF2765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00825" y="33632775"/>
          <a:ext cx="103833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28575</xdr:colOff>
      <xdr:row>72</xdr:row>
      <xdr:rowOff>1</xdr:rowOff>
    </xdr:from>
    <xdr:to>
      <xdr:col>12</xdr:col>
      <xdr:colOff>28575</xdr:colOff>
      <xdr:row>72</xdr:row>
      <xdr:rowOff>704850</xdr:rowOff>
    </xdr:to>
    <xdr:pic>
      <xdr:nvPicPr>
        <xdr:cNvPr id="7" name="Рисунок 15">
          <a:extLst>
            <a:ext uri="{FF2B5EF4-FFF2-40B4-BE49-F238E27FC236}">
              <a16:creationId xmlns:a16="http://schemas.microsoft.com/office/drawing/2014/main" id="{B264BC67-FDFB-4A69-BF26-535297E9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34223326"/>
          <a:ext cx="1000125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73</xdr:row>
      <xdr:rowOff>0</xdr:rowOff>
    </xdr:from>
    <xdr:to>
      <xdr:col>11</xdr:col>
      <xdr:colOff>990601</xdr:colOff>
      <xdr:row>75</xdr:row>
      <xdr:rowOff>28575</xdr:rowOff>
    </xdr:to>
    <xdr:pic>
      <xdr:nvPicPr>
        <xdr:cNvPr id="14" name="Picture 283" descr="IMG-3426f7a1d955055d398db93e041a2441-V">
          <a:extLst>
            <a:ext uri="{FF2B5EF4-FFF2-40B4-BE49-F238E27FC236}">
              <a16:creationId xmlns:a16="http://schemas.microsoft.com/office/drawing/2014/main" id="{22D6F99D-964D-4ED9-ABF5-B8AF4A559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6" y="34956750"/>
          <a:ext cx="99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5"/>
  <sheetViews>
    <sheetView tabSelected="1" view="pageBreakPreview" topLeftCell="A6" zoomScaleNormal="100" zoomScaleSheetLayoutView="100" workbookViewId="0">
      <selection activeCell="C6" sqref="C6"/>
    </sheetView>
  </sheetViews>
  <sheetFormatPr defaultColWidth="9.140625" defaultRowHeight="15" x14ac:dyDescent="0.25"/>
  <cols>
    <col min="1" max="2" width="3.5703125" style="104" customWidth="1"/>
    <col min="3" max="3" width="18" style="105" customWidth="1"/>
    <col min="4" max="4" width="18" style="149" hidden="1" customWidth="1"/>
    <col min="5" max="5" width="15.85546875" style="106" customWidth="1"/>
    <col min="6" max="6" width="16.7109375" style="106" customWidth="1"/>
    <col min="7" max="7" width="11" style="106" customWidth="1"/>
    <col min="8" max="8" width="6.5703125" style="106" customWidth="1"/>
    <col min="9" max="9" width="8.42578125" style="106" customWidth="1"/>
    <col min="10" max="10" width="7" style="106" customWidth="1"/>
    <col min="11" max="11" width="8.28515625" style="106" customWidth="1"/>
    <col min="12" max="12" width="15" style="106" customWidth="1"/>
    <col min="13" max="13" width="25.7109375" style="118" customWidth="1"/>
    <col min="14" max="14" width="18.42578125" style="106" customWidth="1"/>
    <col min="15" max="15" width="10.28515625" style="106" hidden="1" customWidth="1"/>
    <col min="16" max="16" width="0" style="109" hidden="1" customWidth="1"/>
    <col min="17" max="18" width="0" style="110" hidden="1" customWidth="1"/>
    <col min="19" max="19" width="9.140625" style="109"/>
    <col min="20" max="20" width="0" style="106" hidden="1" customWidth="1"/>
    <col min="21" max="28" width="9.140625" style="106"/>
    <col min="29" max="16384" width="9.140625" style="1"/>
  </cols>
  <sheetData>
    <row r="1" spans="1:28" hidden="1" x14ac:dyDescent="0.25"/>
    <row r="2" spans="1:28" hidden="1" x14ac:dyDescent="0.25">
      <c r="M2" s="118" t="s">
        <v>240</v>
      </c>
    </row>
    <row r="3" spans="1:28" ht="51.75" hidden="1" x14ac:dyDescent="0.25">
      <c r="M3" s="210" t="s">
        <v>238</v>
      </c>
      <c r="N3" s="211"/>
      <c r="O3" s="211"/>
      <c r="P3" s="212"/>
      <c r="Q3" s="111"/>
      <c r="R3" s="111"/>
      <c r="S3" s="212"/>
    </row>
    <row r="4" spans="1:28" hidden="1" x14ac:dyDescent="0.25">
      <c r="M4" s="213" t="s">
        <v>239</v>
      </c>
    </row>
    <row r="5" spans="1:28" hidden="1" x14ac:dyDescent="0.25"/>
    <row r="6" spans="1:28" x14ac:dyDescent="0.25">
      <c r="C6" s="215" t="s">
        <v>243</v>
      </c>
      <c r="D6" s="216"/>
      <c r="E6" s="116"/>
      <c r="F6" s="116"/>
      <c r="G6" s="116"/>
      <c r="H6" s="116"/>
      <c r="I6" s="116"/>
      <c r="J6" s="116"/>
      <c r="K6" s="116"/>
    </row>
    <row r="8" spans="1:28" ht="15.75" hidden="1" x14ac:dyDescent="0.25">
      <c r="C8" s="159"/>
      <c r="L8" s="107"/>
      <c r="M8" s="214" t="s">
        <v>241</v>
      </c>
      <c r="N8" s="203"/>
    </row>
    <row r="9" spans="1:28" ht="15.75" x14ac:dyDescent="0.25">
      <c r="A9" s="111"/>
      <c r="B9" s="111"/>
      <c r="C9" s="160"/>
      <c r="D9" s="150"/>
      <c r="E9" s="112"/>
      <c r="F9" s="112"/>
      <c r="G9" s="112"/>
      <c r="H9" s="112"/>
      <c r="I9" s="112"/>
      <c r="L9" s="107"/>
      <c r="M9" s="108"/>
    </row>
    <row r="10" spans="1:28" s="2" customFormat="1" ht="15.75" customHeight="1" x14ac:dyDescent="0.25">
      <c r="B10" s="113"/>
      <c r="C10" s="161" t="s">
        <v>197</v>
      </c>
      <c r="D10" s="151"/>
      <c r="E10" s="115"/>
      <c r="F10" s="115"/>
      <c r="G10" s="162"/>
      <c r="H10" s="114"/>
      <c r="I10" s="114"/>
      <c r="J10" s="114"/>
      <c r="K10" s="114"/>
      <c r="L10" s="114"/>
      <c r="M10" s="116"/>
      <c r="N10" s="114"/>
      <c r="O10" s="114"/>
      <c r="P10" s="114"/>
      <c r="Q10" s="117"/>
      <c r="R10" s="117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</row>
    <row r="11" spans="1:28" ht="94.9" customHeight="1" x14ac:dyDescent="0.2">
      <c r="A11" s="119" t="s">
        <v>208</v>
      </c>
      <c r="B11" s="119"/>
      <c r="C11" s="119" t="s">
        <v>39</v>
      </c>
      <c r="D11" s="152" t="s">
        <v>39</v>
      </c>
      <c r="E11" s="119" t="s">
        <v>0</v>
      </c>
      <c r="F11" s="119" t="s">
        <v>1</v>
      </c>
      <c r="G11" s="119" t="s">
        <v>36</v>
      </c>
      <c r="H11" s="119" t="s">
        <v>2</v>
      </c>
      <c r="I11" s="119" t="s">
        <v>37</v>
      </c>
      <c r="J11" s="119" t="s">
        <v>3</v>
      </c>
      <c r="K11" s="119" t="s">
        <v>4</v>
      </c>
      <c r="L11" s="119" t="s">
        <v>5</v>
      </c>
      <c r="M11" s="119" t="s">
        <v>6</v>
      </c>
      <c r="N11" s="166" t="s">
        <v>193</v>
      </c>
      <c r="O11" s="121" t="s">
        <v>7</v>
      </c>
      <c r="P11" s="167"/>
      <c r="Q11" s="122" t="s">
        <v>198</v>
      </c>
      <c r="R11" s="122" t="s">
        <v>199</v>
      </c>
      <c r="S11" s="167"/>
    </row>
    <row r="12" spans="1:28" ht="16.5" customHeight="1" x14ac:dyDescent="0.2">
      <c r="A12" s="119"/>
      <c r="B12" s="127"/>
      <c r="C12" s="137" t="s">
        <v>207</v>
      </c>
      <c r="D12" s="181"/>
      <c r="E12" s="127"/>
      <c r="F12" s="127"/>
      <c r="G12" s="127"/>
      <c r="H12" s="127"/>
      <c r="I12" s="127"/>
      <c r="J12" s="127"/>
      <c r="K12" s="127"/>
      <c r="L12" s="127"/>
      <c r="M12" s="127"/>
      <c r="N12" s="182"/>
      <c r="O12" s="183"/>
      <c r="P12" s="167"/>
      <c r="Q12" s="122"/>
      <c r="R12" s="122"/>
      <c r="S12" s="167"/>
    </row>
    <row r="13" spans="1:28" ht="17.25" customHeight="1" x14ac:dyDescent="0.2">
      <c r="A13" s="119"/>
      <c r="B13" s="127"/>
      <c r="C13" s="184" t="s">
        <v>211</v>
      </c>
      <c r="D13" s="181"/>
      <c r="E13" s="127"/>
      <c r="F13" s="127"/>
      <c r="G13" s="127"/>
      <c r="H13" s="127"/>
      <c r="I13" s="127"/>
      <c r="J13" s="127"/>
      <c r="K13" s="127"/>
      <c r="L13" s="127"/>
      <c r="M13" s="127"/>
      <c r="N13" s="182"/>
      <c r="O13" s="183"/>
      <c r="P13" s="167"/>
      <c r="Q13" s="122"/>
      <c r="R13" s="122"/>
      <c r="S13" s="167"/>
    </row>
    <row r="14" spans="1:28" ht="78.599999999999994" customHeight="1" x14ac:dyDescent="0.25">
      <c r="A14" s="164">
        <v>1</v>
      </c>
      <c r="B14" s="119">
        <v>1</v>
      </c>
      <c r="C14" s="139" t="s">
        <v>245</v>
      </c>
      <c r="D14" s="153"/>
      <c r="E14" s="133" t="s">
        <v>134</v>
      </c>
      <c r="F14" s="133" t="s">
        <v>40</v>
      </c>
      <c r="G14" s="133" t="s">
        <v>80</v>
      </c>
      <c r="H14" s="119">
        <v>1957</v>
      </c>
      <c r="I14" s="119">
        <v>419.94</v>
      </c>
      <c r="J14" s="119">
        <v>5</v>
      </c>
      <c r="K14" s="119">
        <v>2026</v>
      </c>
      <c r="L14" s="134"/>
      <c r="M14" s="135" t="s">
        <v>90</v>
      </c>
      <c r="N14" s="120">
        <v>9.1999999999999993</v>
      </c>
      <c r="O14" s="131"/>
      <c r="Q14" s="124"/>
      <c r="R14" s="124" t="s">
        <v>135</v>
      </c>
    </row>
    <row r="15" spans="1:28" ht="43.5" customHeight="1" x14ac:dyDescent="0.25">
      <c r="A15" s="164">
        <f t="shared" ref="A15:A16" si="0">A14+1</f>
        <v>2</v>
      </c>
      <c r="B15" s="119">
        <v>1</v>
      </c>
      <c r="C15" s="140"/>
      <c r="D15" s="154"/>
      <c r="E15" s="133" t="s">
        <v>133</v>
      </c>
      <c r="F15" s="133" t="s">
        <v>41</v>
      </c>
      <c r="G15" s="133" t="s">
        <v>8</v>
      </c>
      <c r="H15" s="119">
        <v>1972</v>
      </c>
      <c r="I15" s="119">
        <v>23</v>
      </c>
      <c r="J15" s="119">
        <v>3</v>
      </c>
      <c r="K15" s="119">
        <v>2026</v>
      </c>
      <c r="L15" s="134"/>
      <c r="M15" s="135" t="s">
        <v>91</v>
      </c>
      <c r="N15" s="120">
        <v>2.1</v>
      </c>
      <c r="O15" s="131"/>
      <c r="Q15" s="124"/>
      <c r="R15" s="124" t="s">
        <v>135</v>
      </c>
    </row>
    <row r="16" spans="1:28" ht="50.45" customHeight="1" x14ac:dyDescent="0.25">
      <c r="A16" s="164">
        <f t="shared" si="0"/>
        <v>3</v>
      </c>
      <c r="B16" s="119">
        <v>1</v>
      </c>
      <c r="C16" s="125" t="s">
        <v>244</v>
      </c>
      <c r="D16" s="155" t="s">
        <v>35</v>
      </c>
      <c r="E16" s="133" t="s">
        <v>132</v>
      </c>
      <c r="F16" s="133" t="s">
        <v>38</v>
      </c>
      <c r="G16" s="133" t="s">
        <v>8</v>
      </c>
      <c r="H16" s="119">
        <v>1972</v>
      </c>
      <c r="I16" s="119">
        <v>931.9</v>
      </c>
      <c r="J16" s="119">
        <v>3</v>
      </c>
      <c r="K16" s="119">
        <v>2028</v>
      </c>
      <c r="L16" s="134"/>
      <c r="M16" s="135" t="s">
        <v>89</v>
      </c>
      <c r="N16" s="120">
        <v>9</v>
      </c>
      <c r="O16" s="131"/>
      <c r="Q16" s="124"/>
      <c r="R16" s="124" t="s">
        <v>135</v>
      </c>
    </row>
    <row r="17" spans="1:28" ht="58.15" customHeight="1" x14ac:dyDescent="0.25">
      <c r="A17" s="164">
        <v>4</v>
      </c>
      <c r="B17" s="119">
        <v>1</v>
      </c>
      <c r="C17" s="125" t="s">
        <v>246</v>
      </c>
      <c r="D17" s="157"/>
      <c r="E17" s="133" t="s">
        <v>42</v>
      </c>
      <c r="F17" s="133" t="s">
        <v>44</v>
      </c>
      <c r="G17" s="133" t="s">
        <v>81</v>
      </c>
      <c r="H17" s="119">
        <v>1969</v>
      </c>
      <c r="I17" s="119">
        <v>159.69999999999999</v>
      </c>
      <c r="J17" s="119">
        <v>3</v>
      </c>
      <c r="K17" s="119">
        <v>2026</v>
      </c>
      <c r="L17" s="134"/>
      <c r="M17" s="135" t="s">
        <v>92</v>
      </c>
      <c r="N17" s="120">
        <v>20</v>
      </c>
      <c r="O17" s="131"/>
      <c r="Q17" s="124"/>
      <c r="R17" s="124" t="s">
        <v>135</v>
      </c>
    </row>
    <row r="18" spans="1:28" ht="40.15" customHeight="1" x14ac:dyDescent="0.25">
      <c r="A18" s="164">
        <v>5</v>
      </c>
      <c r="B18" s="119">
        <v>1</v>
      </c>
      <c r="C18" s="136"/>
      <c r="D18" s="157"/>
      <c r="E18" s="133" t="s">
        <v>43</v>
      </c>
      <c r="F18" s="133" t="s">
        <v>45</v>
      </c>
      <c r="G18" s="133" t="s">
        <v>81</v>
      </c>
      <c r="H18" s="119">
        <v>1981</v>
      </c>
      <c r="I18" s="119">
        <v>211.3</v>
      </c>
      <c r="J18" s="119">
        <v>3</v>
      </c>
      <c r="K18" s="119">
        <v>2027</v>
      </c>
      <c r="L18" s="134"/>
      <c r="M18" s="135" t="s">
        <v>93</v>
      </c>
      <c r="N18" s="120">
        <v>25</v>
      </c>
      <c r="O18" s="131"/>
      <c r="Q18" s="124"/>
      <c r="R18" s="124" t="s">
        <v>135</v>
      </c>
    </row>
    <row r="19" spans="1:28" s="2" customFormat="1" ht="14.25" customHeight="1" x14ac:dyDescent="0.25">
      <c r="A19" s="196"/>
      <c r="B19" s="197"/>
      <c r="C19" s="123" t="s">
        <v>213</v>
      </c>
      <c r="D19" s="186"/>
      <c r="E19" s="187"/>
      <c r="F19" s="187"/>
      <c r="G19" s="187"/>
      <c r="H19" s="188"/>
      <c r="I19" s="188"/>
      <c r="J19" s="198"/>
      <c r="K19" s="189"/>
      <c r="L19" s="190"/>
      <c r="M19" s="191"/>
      <c r="N19" s="192"/>
      <c r="O19" s="193"/>
      <c r="P19" s="194"/>
      <c r="Q19" s="195"/>
      <c r="R19" s="195"/>
      <c r="S19" s="194"/>
      <c r="T19" s="114"/>
      <c r="U19" s="114"/>
      <c r="V19" s="114"/>
      <c r="W19" s="114"/>
      <c r="X19" s="114"/>
      <c r="Y19" s="114"/>
      <c r="Z19" s="114"/>
      <c r="AA19" s="114"/>
      <c r="AB19" s="114"/>
    </row>
    <row r="20" spans="1:28" ht="74.25" customHeight="1" x14ac:dyDescent="0.25">
      <c r="A20" s="164">
        <v>1</v>
      </c>
      <c r="B20" s="119">
        <v>1</v>
      </c>
      <c r="C20" s="125" t="s">
        <v>219</v>
      </c>
      <c r="D20" s="155" t="s">
        <v>46</v>
      </c>
      <c r="E20" s="133" t="s">
        <v>10</v>
      </c>
      <c r="F20" s="133" t="s">
        <v>47</v>
      </c>
      <c r="G20" s="133" t="s">
        <v>83</v>
      </c>
      <c r="H20" s="119">
        <v>1955</v>
      </c>
      <c r="I20" s="119">
        <v>78</v>
      </c>
      <c r="J20" s="119">
        <v>5</v>
      </c>
      <c r="K20" s="119">
        <v>2027</v>
      </c>
      <c r="L20" s="134"/>
      <c r="M20" s="135" t="s">
        <v>94</v>
      </c>
      <c r="N20" s="120">
        <v>3</v>
      </c>
      <c r="O20" s="131"/>
      <c r="Q20" s="124"/>
      <c r="R20" s="124" t="s">
        <v>135</v>
      </c>
    </row>
    <row r="21" spans="1:28" ht="60" customHeight="1" x14ac:dyDescent="0.25">
      <c r="A21" s="164">
        <v>2</v>
      </c>
      <c r="B21" s="119">
        <v>1</v>
      </c>
      <c r="C21" s="132"/>
      <c r="D21" s="154"/>
      <c r="E21" s="133" t="s">
        <v>11</v>
      </c>
      <c r="F21" s="133" t="s">
        <v>47</v>
      </c>
      <c r="G21" s="133" t="s">
        <v>81</v>
      </c>
      <c r="H21" s="119">
        <v>1973</v>
      </c>
      <c r="I21" s="119">
        <v>8</v>
      </c>
      <c r="J21" s="119">
        <v>2</v>
      </c>
      <c r="K21" s="119">
        <v>2027</v>
      </c>
      <c r="L21" s="134"/>
      <c r="M21" s="135" t="s">
        <v>95</v>
      </c>
      <c r="N21" s="120">
        <v>1</v>
      </c>
      <c r="O21" s="131"/>
      <c r="Q21" s="124"/>
      <c r="R21" s="124" t="s">
        <v>135</v>
      </c>
    </row>
    <row r="22" spans="1:28" ht="15.75" x14ac:dyDescent="0.25">
      <c r="A22" s="168"/>
      <c r="B22" s="169"/>
      <c r="C22" s="172" t="s">
        <v>209</v>
      </c>
      <c r="D22" s="170"/>
      <c r="E22" s="169"/>
      <c r="F22" s="169"/>
      <c r="G22" s="169"/>
      <c r="H22" s="169"/>
      <c r="I22" s="169"/>
      <c r="J22" s="169"/>
      <c r="K22" s="169"/>
      <c r="L22" s="169"/>
      <c r="M22" s="169"/>
      <c r="N22" s="171"/>
      <c r="O22" s="131"/>
      <c r="P22" s="165"/>
      <c r="Q22" s="124"/>
      <c r="R22" s="124"/>
      <c r="S22" s="165"/>
    </row>
    <row r="23" spans="1:28" ht="48" x14ac:dyDescent="0.25">
      <c r="A23" s="164">
        <v>1</v>
      </c>
      <c r="B23" s="119">
        <v>1</v>
      </c>
      <c r="C23" s="138" t="s">
        <v>242</v>
      </c>
      <c r="D23" s="155" t="s">
        <v>200</v>
      </c>
      <c r="E23" s="133" t="s">
        <v>12</v>
      </c>
      <c r="F23" s="133" t="s">
        <v>48</v>
      </c>
      <c r="G23" s="133" t="s">
        <v>84</v>
      </c>
      <c r="H23" s="119">
        <v>1979</v>
      </c>
      <c r="I23" s="119">
        <v>1500</v>
      </c>
      <c r="J23" s="119">
        <v>3</v>
      </c>
      <c r="K23" s="119">
        <v>2028</v>
      </c>
      <c r="L23" s="134"/>
      <c r="M23" s="135" t="s">
        <v>96</v>
      </c>
      <c r="N23" s="120">
        <v>7.5</v>
      </c>
      <c r="O23" s="131"/>
      <c r="Q23" s="124"/>
      <c r="R23" s="124" t="s">
        <v>194</v>
      </c>
    </row>
    <row r="24" spans="1:28" ht="36.75" customHeight="1" x14ac:dyDescent="0.25">
      <c r="A24" s="199">
        <f>A23+1</f>
        <v>2</v>
      </c>
      <c r="B24" s="119">
        <v>1</v>
      </c>
      <c r="C24" s="139"/>
      <c r="D24" s="153"/>
      <c r="E24" s="133" t="s">
        <v>14</v>
      </c>
      <c r="F24" s="133" t="s">
        <v>50</v>
      </c>
      <c r="G24" s="133" t="s">
        <v>84</v>
      </c>
      <c r="H24" s="119">
        <v>1978</v>
      </c>
      <c r="I24" s="119">
        <v>2000</v>
      </c>
      <c r="J24" s="119">
        <v>3</v>
      </c>
      <c r="K24" s="119">
        <v>2026</v>
      </c>
      <c r="L24" s="134"/>
      <c r="M24" s="135" t="s">
        <v>98</v>
      </c>
      <c r="N24" s="120">
        <v>7</v>
      </c>
      <c r="O24" s="131"/>
      <c r="Q24" s="124"/>
      <c r="R24" s="124" t="s">
        <v>194</v>
      </c>
    </row>
    <row r="25" spans="1:28" ht="34.5" customHeight="1" x14ac:dyDescent="0.25">
      <c r="A25" s="164">
        <f>A24+1</f>
        <v>3</v>
      </c>
      <c r="B25" s="119">
        <v>1</v>
      </c>
      <c r="C25" s="139"/>
      <c r="D25" s="153"/>
      <c r="E25" s="133" t="s">
        <v>13</v>
      </c>
      <c r="F25" s="133" t="s">
        <v>51</v>
      </c>
      <c r="G25" s="133" t="s">
        <v>8</v>
      </c>
      <c r="H25" s="119">
        <v>1985</v>
      </c>
      <c r="I25" s="119">
        <v>150</v>
      </c>
      <c r="J25" s="119">
        <v>3</v>
      </c>
      <c r="K25" s="119">
        <v>2030</v>
      </c>
      <c r="L25" s="134"/>
      <c r="M25" s="135" t="s">
        <v>99</v>
      </c>
      <c r="N25" s="120">
        <v>4.2</v>
      </c>
      <c r="O25" s="131"/>
      <c r="Q25" s="124"/>
      <c r="R25" s="124" t="s">
        <v>194</v>
      </c>
    </row>
    <row r="26" spans="1:28" ht="33.75" customHeight="1" x14ac:dyDescent="0.25">
      <c r="A26" s="164">
        <f t="shared" ref="A26:A66" si="1">A25+1</f>
        <v>4</v>
      </c>
      <c r="B26" s="119">
        <v>1</v>
      </c>
      <c r="C26" s="139"/>
      <c r="D26" s="153"/>
      <c r="E26" s="133" t="s">
        <v>15</v>
      </c>
      <c r="F26" s="133" t="s">
        <v>52</v>
      </c>
      <c r="G26" s="133" t="s">
        <v>84</v>
      </c>
      <c r="H26" s="119">
        <v>1988</v>
      </c>
      <c r="I26" s="119">
        <v>500</v>
      </c>
      <c r="J26" s="119">
        <v>4</v>
      </c>
      <c r="K26" s="119">
        <v>2026</v>
      </c>
      <c r="L26" s="134"/>
      <c r="M26" s="135" t="s">
        <v>100</v>
      </c>
      <c r="N26" s="120">
        <v>6</v>
      </c>
      <c r="O26" s="131"/>
      <c r="Q26" s="124"/>
      <c r="R26" s="124" t="s">
        <v>194</v>
      </c>
    </row>
    <row r="27" spans="1:28" ht="31.5" customHeight="1" x14ac:dyDescent="0.25">
      <c r="A27" s="164">
        <f t="shared" si="1"/>
        <v>5</v>
      </c>
      <c r="B27" s="119">
        <v>1</v>
      </c>
      <c r="C27" s="140"/>
      <c r="D27" s="154"/>
      <c r="E27" s="133" t="s">
        <v>34</v>
      </c>
      <c r="F27" s="133" t="s">
        <v>53</v>
      </c>
      <c r="G27" s="133" t="s">
        <v>84</v>
      </c>
      <c r="H27" s="119">
        <v>1989</v>
      </c>
      <c r="I27" s="119">
        <v>1000</v>
      </c>
      <c r="J27" s="119">
        <v>3</v>
      </c>
      <c r="K27" s="119">
        <v>2026</v>
      </c>
      <c r="L27" s="134"/>
      <c r="M27" s="135" t="s">
        <v>101</v>
      </c>
      <c r="N27" s="120">
        <v>5</v>
      </c>
      <c r="O27" s="131"/>
      <c r="Q27" s="124"/>
      <c r="R27" s="124" t="s">
        <v>194</v>
      </c>
    </row>
    <row r="28" spans="1:28" ht="48" x14ac:dyDescent="0.25">
      <c r="A28" s="164">
        <f t="shared" si="1"/>
        <v>6</v>
      </c>
      <c r="B28" s="119">
        <v>1</v>
      </c>
      <c r="C28" s="125" t="s">
        <v>119</v>
      </c>
      <c r="D28" s="156" t="s">
        <v>201</v>
      </c>
      <c r="E28" s="133" t="s">
        <v>16</v>
      </c>
      <c r="F28" s="133" t="s">
        <v>234</v>
      </c>
      <c r="G28" s="133" t="s">
        <v>84</v>
      </c>
      <c r="H28" s="119">
        <v>1965</v>
      </c>
      <c r="I28" s="119">
        <v>1800</v>
      </c>
      <c r="J28" s="119">
        <v>4</v>
      </c>
      <c r="K28" s="119">
        <v>2030</v>
      </c>
      <c r="L28" s="134"/>
      <c r="M28" s="135" t="s">
        <v>102</v>
      </c>
      <c r="N28" s="120">
        <v>11</v>
      </c>
      <c r="O28" s="131"/>
      <c r="Q28" s="124"/>
      <c r="R28" s="124" t="s">
        <v>194</v>
      </c>
    </row>
    <row r="29" spans="1:28" ht="32.25" customHeight="1" x14ac:dyDescent="0.25">
      <c r="A29" s="164">
        <f t="shared" si="1"/>
        <v>7</v>
      </c>
      <c r="B29" s="119">
        <v>1</v>
      </c>
      <c r="C29" s="136"/>
      <c r="D29" s="157"/>
      <c r="E29" s="133" t="s">
        <v>17</v>
      </c>
      <c r="F29" s="133" t="s">
        <v>233</v>
      </c>
      <c r="G29" s="133" t="s">
        <v>84</v>
      </c>
      <c r="H29" s="119">
        <v>1985</v>
      </c>
      <c r="I29" s="119">
        <v>1300</v>
      </c>
      <c r="J29" s="119">
        <v>4</v>
      </c>
      <c r="K29" s="119">
        <v>2029</v>
      </c>
      <c r="L29" s="134"/>
      <c r="M29" s="135" t="s">
        <v>103</v>
      </c>
      <c r="N29" s="120">
        <v>9.5</v>
      </c>
      <c r="O29" s="131"/>
      <c r="Q29" s="124"/>
      <c r="R29" s="124" t="s">
        <v>194</v>
      </c>
    </row>
    <row r="30" spans="1:28" ht="36" customHeight="1" x14ac:dyDescent="0.25">
      <c r="A30" s="164">
        <f t="shared" si="1"/>
        <v>8</v>
      </c>
      <c r="B30" s="119">
        <v>1</v>
      </c>
      <c r="C30" s="136"/>
      <c r="D30" s="157"/>
      <c r="E30" s="133" t="s">
        <v>18</v>
      </c>
      <c r="F30" s="133" t="s">
        <v>54</v>
      </c>
      <c r="G30" s="133" t="s">
        <v>84</v>
      </c>
      <c r="H30" s="119">
        <v>1978</v>
      </c>
      <c r="I30" s="119">
        <v>40</v>
      </c>
      <c r="J30" s="119">
        <v>3</v>
      </c>
      <c r="K30" s="119">
        <v>2028</v>
      </c>
      <c r="L30" s="134"/>
      <c r="M30" s="135" t="s">
        <v>105</v>
      </c>
      <c r="N30" s="120">
        <v>4</v>
      </c>
      <c r="O30" s="131"/>
      <c r="Q30" s="124"/>
      <c r="R30" s="124" t="s">
        <v>194</v>
      </c>
    </row>
    <row r="31" spans="1:28" ht="33.75" customHeight="1" x14ac:dyDescent="0.25">
      <c r="A31" s="164">
        <f t="shared" si="1"/>
        <v>9</v>
      </c>
      <c r="B31" s="119">
        <v>1</v>
      </c>
      <c r="C31" s="136"/>
      <c r="D31" s="157"/>
      <c r="E31" s="133" t="s">
        <v>221</v>
      </c>
      <c r="F31" s="133" t="s">
        <v>232</v>
      </c>
      <c r="G31" s="133" t="s">
        <v>84</v>
      </c>
      <c r="H31" s="119">
        <v>1987</v>
      </c>
      <c r="I31" s="119">
        <v>1718</v>
      </c>
      <c r="J31" s="119">
        <v>3</v>
      </c>
      <c r="K31" s="119">
        <v>2029</v>
      </c>
      <c r="L31" s="134"/>
      <c r="M31" s="135" t="s">
        <v>106</v>
      </c>
      <c r="N31" s="120">
        <v>1.2</v>
      </c>
      <c r="O31" s="131"/>
      <c r="Q31" s="124"/>
      <c r="R31" s="124" t="s">
        <v>194</v>
      </c>
    </row>
    <row r="32" spans="1:28" ht="33" customHeight="1" x14ac:dyDescent="0.25">
      <c r="A32" s="164">
        <f t="shared" si="1"/>
        <v>10</v>
      </c>
      <c r="B32" s="119">
        <v>1</v>
      </c>
      <c r="C32" s="132"/>
      <c r="D32" s="158"/>
      <c r="E32" s="133" t="s">
        <v>220</v>
      </c>
      <c r="F32" s="133" t="s">
        <v>49</v>
      </c>
      <c r="G32" s="133" t="s">
        <v>84</v>
      </c>
      <c r="H32" s="119">
        <v>1992</v>
      </c>
      <c r="I32" s="119">
        <v>240</v>
      </c>
      <c r="J32" s="119">
        <v>3</v>
      </c>
      <c r="K32" s="119">
        <v>2028</v>
      </c>
      <c r="L32" s="134"/>
      <c r="M32" s="135" t="s">
        <v>107</v>
      </c>
      <c r="N32" s="120">
        <v>5.2</v>
      </c>
      <c r="O32" s="131"/>
      <c r="Q32" s="124"/>
      <c r="R32" s="124" t="s">
        <v>194</v>
      </c>
    </row>
    <row r="33" spans="1:18" ht="48" x14ac:dyDescent="0.25">
      <c r="A33" s="164">
        <f t="shared" si="1"/>
        <v>11</v>
      </c>
      <c r="B33" s="119">
        <v>1</v>
      </c>
      <c r="C33" s="125" t="s">
        <v>120</v>
      </c>
      <c r="D33" s="155" t="s">
        <v>202</v>
      </c>
      <c r="E33" s="133" t="s">
        <v>19</v>
      </c>
      <c r="F33" s="148" t="s">
        <v>125</v>
      </c>
      <c r="G33" s="133" t="s">
        <v>84</v>
      </c>
      <c r="H33" s="119">
        <v>1984</v>
      </c>
      <c r="I33" s="119">
        <v>780</v>
      </c>
      <c r="J33" s="222">
        <v>4</v>
      </c>
      <c r="K33" s="119">
        <v>2030</v>
      </c>
      <c r="L33" s="134"/>
      <c r="M33" s="135" t="s">
        <v>101</v>
      </c>
      <c r="N33" s="120">
        <v>5</v>
      </c>
      <c r="O33" s="131"/>
      <c r="Q33" s="124"/>
      <c r="R33" s="124" t="s">
        <v>194</v>
      </c>
    </row>
    <row r="34" spans="1:18" ht="34.15" customHeight="1" x14ac:dyDescent="0.25">
      <c r="A34" s="164">
        <f t="shared" si="1"/>
        <v>12</v>
      </c>
      <c r="B34" s="119">
        <v>1</v>
      </c>
      <c r="C34" s="136"/>
      <c r="D34" s="154"/>
      <c r="E34" s="133" t="s">
        <v>22</v>
      </c>
      <c r="F34" s="148" t="s">
        <v>125</v>
      </c>
      <c r="G34" s="133" t="s">
        <v>84</v>
      </c>
      <c r="H34" s="119">
        <v>1984</v>
      </c>
      <c r="I34" s="119"/>
      <c r="J34" s="222">
        <v>4</v>
      </c>
      <c r="K34" s="119">
        <v>2030</v>
      </c>
      <c r="L34" s="134"/>
      <c r="M34" s="135" t="s">
        <v>107</v>
      </c>
      <c r="N34" s="120">
        <v>5.2</v>
      </c>
      <c r="O34" s="131"/>
      <c r="Q34" s="124"/>
      <c r="R34" s="124" t="s">
        <v>194</v>
      </c>
    </row>
    <row r="35" spans="1:18" ht="60" x14ac:dyDescent="0.25">
      <c r="A35" s="164">
        <f t="shared" si="1"/>
        <v>13</v>
      </c>
      <c r="B35" s="141">
        <v>1</v>
      </c>
      <c r="C35" s="138" t="s">
        <v>121</v>
      </c>
      <c r="D35" s="155" t="s">
        <v>203</v>
      </c>
      <c r="E35" s="133" t="s">
        <v>20</v>
      </c>
      <c r="F35" s="133" t="s">
        <v>55</v>
      </c>
      <c r="G35" s="133" t="s">
        <v>84</v>
      </c>
      <c r="H35" s="119">
        <v>1978</v>
      </c>
      <c r="I35" s="119">
        <v>5400</v>
      </c>
      <c r="J35" s="222">
        <v>3</v>
      </c>
      <c r="K35" s="119">
        <v>2027</v>
      </c>
      <c r="L35" s="134"/>
      <c r="M35" s="135" t="s">
        <v>108</v>
      </c>
      <c r="N35" s="120">
        <v>6.5</v>
      </c>
      <c r="O35" s="131"/>
      <c r="Q35" s="124"/>
      <c r="R35" s="124" t="s">
        <v>194</v>
      </c>
    </row>
    <row r="36" spans="1:18" ht="48" customHeight="1" x14ac:dyDescent="0.25">
      <c r="A36" s="164">
        <f t="shared" si="1"/>
        <v>14</v>
      </c>
      <c r="B36" s="141">
        <v>1</v>
      </c>
      <c r="C36" s="139"/>
      <c r="D36" s="153"/>
      <c r="E36" s="133" t="s">
        <v>230</v>
      </c>
      <c r="F36" s="133" t="s">
        <v>56</v>
      </c>
      <c r="G36" s="133" t="s">
        <v>8</v>
      </c>
      <c r="H36" s="119">
        <v>1990</v>
      </c>
      <c r="I36" s="119">
        <v>275</v>
      </c>
      <c r="J36" s="222">
        <v>2</v>
      </c>
      <c r="K36" s="119">
        <v>2027</v>
      </c>
      <c r="L36" s="134"/>
      <c r="M36" s="135" t="s">
        <v>94</v>
      </c>
      <c r="N36" s="120">
        <v>3</v>
      </c>
      <c r="O36" s="131"/>
      <c r="Q36" s="124"/>
      <c r="R36" s="124" t="s">
        <v>194</v>
      </c>
    </row>
    <row r="37" spans="1:18" ht="38.25" customHeight="1" x14ac:dyDescent="0.25">
      <c r="A37" s="164">
        <f t="shared" si="1"/>
        <v>15</v>
      </c>
      <c r="B37" s="141">
        <v>1</v>
      </c>
      <c r="C37" s="139"/>
      <c r="D37" s="153"/>
      <c r="E37" s="133" t="s">
        <v>21</v>
      </c>
      <c r="F37" s="133" t="s">
        <v>57</v>
      </c>
      <c r="G37" s="133" t="s">
        <v>80</v>
      </c>
      <c r="H37" s="119">
        <v>1990</v>
      </c>
      <c r="I37" s="119">
        <v>235</v>
      </c>
      <c r="J37" s="222">
        <v>2</v>
      </c>
      <c r="K37" s="119">
        <v>2030</v>
      </c>
      <c r="L37" s="134"/>
      <c r="M37" s="135" t="s">
        <v>109</v>
      </c>
      <c r="N37" s="120">
        <v>3.5</v>
      </c>
      <c r="O37" s="131"/>
      <c r="Q37" s="124"/>
      <c r="R37" s="124" t="s">
        <v>194</v>
      </c>
    </row>
    <row r="38" spans="1:18" ht="38.25" customHeight="1" x14ac:dyDescent="0.25">
      <c r="A38" s="164">
        <f t="shared" si="1"/>
        <v>16</v>
      </c>
      <c r="B38" s="141">
        <v>1</v>
      </c>
      <c r="C38" s="233" t="s">
        <v>231</v>
      </c>
      <c r="D38" s="157"/>
      <c r="E38" s="142" t="s">
        <v>216</v>
      </c>
      <c r="F38" s="142" t="s">
        <v>217</v>
      </c>
      <c r="G38" s="143" t="s">
        <v>126</v>
      </c>
      <c r="H38" s="144"/>
      <c r="I38" s="144"/>
      <c r="J38" s="226">
        <v>4</v>
      </c>
      <c r="K38" s="119">
        <v>2028</v>
      </c>
      <c r="L38" s="134"/>
      <c r="M38" s="135" t="s">
        <v>109</v>
      </c>
      <c r="N38" s="120">
        <v>3.5</v>
      </c>
      <c r="O38" s="131"/>
      <c r="Q38" s="124"/>
      <c r="R38" s="124" t="s">
        <v>194</v>
      </c>
    </row>
    <row r="39" spans="1:18" ht="38.25" customHeight="1" x14ac:dyDescent="0.25">
      <c r="A39" s="164">
        <f t="shared" si="1"/>
        <v>17</v>
      </c>
      <c r="B39" s="141">
        <v>1</v>
      </c>
      <c r="C39" s="234"/>
      <c r="D39" s="157"/>
      <c r="E39" s="142" t="s">
        <v>216</v>
      </c>
      <c r="F39" s="142" t="s">
        <v>217</v>
      </c>
      <c r="G39" s="143" t="s">
        <v>126</v>
      </c>
      <c r="H39" s="144"/>
      <c r="I39" s="144"/>
      <c r="J39" s="226">
        <v>4</v>
      </c>
      <c r="K39" s="119">
        <v>2028</v>
      </c>
      <c r="L39" s="134"/>
      <c r="M39" s="135" t="s">
        <v>109</v>
      </c>
      <c r="N39" s="120">
        <v>3.5</v>
      </c>
      <c r="O39" s="131"/>
      <c r="Q39" s="124"/>
      <c r="R39" s="124" t="s">
        <v>194</v>
      </c>
    </row>
    <row r="40" spans="1:18" ht="38.25" customHeight="1" x14ac:dyDescent="0.25">
      <c r="A40" s="164">
        <f t="shared" si="1"/>
        <v>18</v>
      </c>
      <c r="B40" s="141">
        <v>1</v>
      </c>
      <c r="C40" s="234"/>
      <c r="D40" s="157"/>
      <c r="E40" s="142" t="s">
        <v>216</v>
      </c>
      <c r="F40" s="142" t="s">
        <v>217</v>
      </c>
      <c r="G40" s="143" t="s">
        <v>126</v>
      </c>
      <c r="H40" s="144"/>
      <c r="I40" s="144"/>
      <c r="J40" s="226">
        <v>4</v>
      </c>
      <c r="K40" s="119">
        <v>2028</v>
      </c>
      <c r="L40" s="134"/>
      <c r="M40" s="135" t="s">
        <v>109</v>
      </c>
      <c r="N40" s="120">
        <v>3.5</v>
      </c>
      <c r="O40" s="131"/>
      <c r="Q40" s="124"/>
      <c r="R40" s="124" t="s">
        <v>194</v>
      </c>
    </row>
    <row r="41" spans="1:18" ht="38.25" customHeight="1" x14ac:dyDescent="0.25">
      <c r="A41" s="164">
        <f t="shared" si="1"/>
        <v>19</v>
      </c>
      <c r="B41" s="141">
        <v>1</v>
      </c>
      <c r="C41" s="235"/>
      <c r="D41" s="157"/>
      <c r="E41" s="142" t="s">
        <v>216</v>
      </c>
      <c r="F41" s="142" t="s">
        <v>217</v>
      </c>
      <c r="G41" s="143" t="s">
        <v>126</v>
      </c>
      <c r="H41" s="144"/>
      <c r="I41" s="144"/>
      <c r="J41" s="226">
        <v>4</v>
      </c>
      <c r="K41" s="119">
        <v>2028</v>
      </c>
      <c r="L41" s="134"/>
      <c r="M41" s="135" t="s">
        <v>109</v>
      </c>
      <c r="N41" s="120">
        <v>3.5</v>
      </c>
      <c r="O41" s="131"/>
      <c r="Q41" s="124"/>
      <c r="R41" s="124" t="s">
        <v>194</v>
      </c>
    </row>
    <row r="42" spans="1:18" ht="38.25" customHeight="1" x14ac:dyDescent="0.25">
      <c r="A42" s="164">
        <f t="shared" si="1"/>
        <v>20</v>
      </c>
      <c r="B42" s="141">
        <v>1</v>
      </c>
      <c r="C42" s="145"/>
      <c r="D42" s="158"/>
      <c r="E42" s="142" t="s">
        <v>127</v>
      </c>
      <c r="F42" s="142" t="s">
        <v>215</v>
      </c>
      <c r="G42" s="143" t="s">
        <v>126</v>
      </c>
      <c r="H42" s="144"/>
      <c r="I42" s="144"/>
      <c r="J42" s="226">
        <v>4</v>
      </c>
      <c r="K42" s="189">
        <v>2026</v>
      </c>
      <c r="L42" s="134"/>
      <c r="M42" s="135" t="s">
        <v>109</v>
      </c>
      <c r="N42" s="120">
        <v>3.5</v>
      </c>
      <c r="O42" s="131"/>
      <c r="Q42" s="124"/>
      <c r="R42" s="124" t="s">
        <v>194</v>
      </c>
    </row>
    <row r="43" spans="1:18" ht="17.45" customHeight="1" x14ac:dyDescent="0.25">
      <c r="A43" s="227" t="s">
        <v>214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9"/>
      <c r="Q43" s="124"/>
      <c r="R43" s="124"/>
    </row>
    <row r="44" spans="1:18" ht="75" customHeight="1" x14ac:dyDescent="0.25">
      <c r="A44" s="201">
        <f>A42+1</f>
        <v>21</v>
      </c>
      <c r="B44" s="127">
        <v>1</v>
      </c>
      <c r="C44" s="139" t="s">
        <v>229</v>
      </c>
      <c r="D44" s="202" t="s">
        <v>204</v>
      </c>
      <c r="E44" s="145" t="s">
        <v>59</v>
      </c>
      <c r="F44" s="126" t="s">
        <v>58</v>
      </c>
      <c r="G44" s="126" t="s">
        <v>81</v>
      </c>
      <c r="H44" s="127">
        <v>1981</v>
      </c>
      <c r="I44" s="127">
        <v>230</v>
      </c>
      <c r="J44" s="127">
        <v>5</v>
      </c>
      <c r="K44" s="119">
        <v>2030</v>
      </c>
      <c r="L44" s="128"/>
      <c r="M44" s="129" t="s">
        <v>109</v>
      </c>
      <c r="N44" s="130">
        <v>3.5</v>
      </c>
      <c r="O44" s="163"/>
      <c r="Q44" s="124"/>
      <c r="R44" s="124" t="s">
        <v>224</v>
      </c>
    </row>
    <row r="45" spans="1:18" ht="37.5" customHeight="1" x14ac:dyDescent="0.25">
      <c r="A45" s="164">
        <v>22</v>
      </c>
      <c r="B45" s="119">
        <v>1</v>
      </c>
      <c r="C45" s="136"/>
      <c r="D45" s="157"/>
      <c r="E45" s="133" t="s">
        <v>22</v>
      </c>
      <c r="F45" s="133" t="s">
        <v>60</v>
      </c>
      <c r="G45" s="133" t="s">
        <v>81</v>
      </c>
      <c r="H45" s="119">
        <v>1970</v>
      </c>
      <c r="I45" s="119" t="s">
        <v>9</v>
      </c>
      <c r="J45" s="119">
        <v>5</v>
      </c>
      <c r="K45" s="119">
        <v>2030</v>
      </c>
      <c r="L45" s="134"/>
      <c r="M45" s="135" t="s">
        <v>110</v>
      </c>
      <c r="N45" s="120">
        <v>1.5</v>
      </c>
      <c r="O45" s="131"/>
      <c r="Q45" s="124"/>
      <c r="R45" s="124" t="s">
        <v>224</v>
      </c>
    </row>
    <row r="46" spans="1:18" ht="37.5" customHeight="1" x14ac:dyDescent="0.25">
      <c r="A46" s="164">
        <f t="shared" si="1"/>
        <v>23</v>
      </c>
      <c r="B46" s="119">
        <v>1</v>
      </c>
      <c r="C46" s="136"/>
      <c r="D46" s="157"/>
      <c r="E46" s="133" t="s">
        <v>23</v>
      </c>
      <c r="F46" s="133" t="s">
        <v>60</v>
      </c>
      <c r="G46" s="133" t="s">
        <v>85</v>
      </c>
      <c r="H46" s="119">
        <v>1982</v>
      </c>
      <c r="I46" s="119">
        <v>35</v>
      </c>
      <c r="J46" s="119">
        <v>4</v>
      </c>
      <c r="K46" s="119">
        <v>2027</v>
      </c>
      <c r="L46" s="134"/>
      <c r="M46" s="135" t="s">
        <v>109</v>
      </c>
      <c r="N46" s="120">
        <v>3.5</v>
      </c>
      <c r="O46" s="131"/>
      <c r="Q46" s="124"/>
      <c r="R46" s="124" t="s">
        <v>224</v>
      </c>
    </row>
    <row r="47" spans="1:18" ht="36" x14ac:dyDescent="0.25">
      <c r="A47" s="164">
        <f t="shared" si="1"/>
        <v>24</v>
      </c>
      <c r="B47" s="119">
        <v>1</v>
      </c>
      <c r="C47" s="136"/>
      <c r="D47" s="157"/>
      <c r="E47" s="133" t="s">
        <v>24</v>
      </c>
      <c r="F47" s="133" t="s">
        <v>60</v>
      </c>
      <c r="G47" s="133" t="s">
        <v>81</v>
      </c>
      <c r="H47" s="119">
        <v>1989</v>
      </c>
      <c r="I47" s="119">
        <v>26.2</v>
      </c>
      <c r="J47" s="119">
        <v>5</v>
      </c>
      <c r="K47" s="119">
        <v>2029</v>
      </c>
      <c r="L47" s="134"/>
      <c r="M47" s="135" t="s">
        <v>94</v>
      </c>
      <c r="N47" s="120">
        <v>3</v>
      </c>
      <c r="O47" s="131"/>
      <c r="Q47" s="124"/>
      <c r="R47" s="124" t="s">
        <v>224</v>
      </c>
    </row>
    <row r="48" spans="1:18" ht="36" x14ac:dyDescent="0.25">
      <c r="A48" s="164">
        <f t="shared" si="1"/>
        <v>25</v>
      </c>
      <c r="B48" s="119">
        <v>1</v>
      </c>
      <c r="C48" s="136"/>
      <c r="D48" s="157"/>
      <c r="E48" s="148" t="s">
        <v>86</v>
      </c>
      <c r="F48" s="133" t="s">
        <v>60</v>
      </c>
      <c r="G48" s="133" t="s">
        <v>81</v>
      </c>
      <c r="H48" s="119">
        <v>1989</v>
      </c>
      <c r="I48" s="119">
        <v>20.2</v>
      </c>
      <c r="J48" s="119">
        <v>5</v>
      </c>
      <c r="K48" s="119">
        <v>2030</v>
      </c>
      <c r="L48" s="134"/>
      <c r="M48" s="135" t="s">
        <v>94</v>
      </c>
      <c r="N48" s="120">
        <v>3</v>
      </c>
      <c r="O48" s="131"/>
      <c r="Q48" s="124"/>
      <c r="R48" s="124" t="s">
        <v>224</v>
      </c>
    </row>
    <row r="49" spans="1:18" ht="36" x14ac:dyDescent="0.25">
      <c r="A49" s="164">
        <f t="shared" si="1"/>
        <v>26</v>
      </c>
      <c r="B49" s="119">
        <v>1</v>
      </c>
      <c r="C49" s="136"/>
      <c r="D49" s="157"/>
      <c r="E49" s="133" t="s">
        <v>25</v>
      </c>
      <c r="F49" s="133" t="s">
        <v>60</v>
      </c>
      <c r="G49" s="133" t="s">
        <v>81</v>
      </c>
      <c r="H49" s="119">
        <v>1998</v>
      </c>
      <c r="I49" s="119">
        <v>135.30000000000001</v>
      </c>
      <c r="J49" s="119">
        <v>5</v>
      </c>
      <c r="K49" s="119">
        <v>2030</v>
      </c>
      <c r="L49" s="134"/>
      <c r="M49" s="135" t="s">
        <v>111</v>
      </c>
      <c r="N49" s="120">
        <v>2.5</v>
      </c>
      <c r="O49" s="131"/>
      <c r="Q49" s="124"/>
      <c r="R49" s="124" t="s">
        <v>224</v>
      </c>
    </row>
    <row r="50" spans="1:18" ht="36" x14ac:dyDescent="0.25">
      <c r="A50" s="164">
        <f t="shared" si="1"/>
        <v>27</v>
      </c>
      <c r="B50" s="119">
        <v>1</v>
      </c>
      <c r="C50" s="136"/>
      <c r="D50" s="157"/>
      <c r="E50" s="148" t="s">
        <v>26</v>
      </c>
      <c r="F50" s="133" t="s">
        <v>60</v>
      </c>
      <c r="G50" s="133" t="s">
        <v>81</v>
      </c>
      <c r="H50" s="119">
        <v>1989</v>
      </c>
      <c r="I50" s="119">
        <v>98</v>
      </c>
      <c r="J50" s="119">
        <v>4</v>
      </c>
      <c r="K50" s="119">
        <v>2029</v>
      </c>
      <c r="L50" s="134"/>
      <c r="M50" s="135" t="s">
        <v>94</v>
      </c>
      <c r="N50" s="120">
        <v>3</v>
      </c>
      <c r="O50" s="131"/>
      <c r="Q50" s="124"/>
      <c r="R50" s="124" t="s">
        <v>224</v>
      </c>
    </row>
    <row r="51" spans="1:18" ht="36" x14ac:dyDescent="0.25">
      <c r="A51" s="164">
        <f t="shared" si="1"/>
        <v>28</v>
      </c>
      <c r="B51" s="119">
        <v>1</v>
      </c>
      <c r="C51" s="136"/>
      <c r="D51" s="157"/>
      <c r="E51" s="133" t="s">
        <v>27</v>
      </c>
      <c r="F51" s="133" t="s">
        <v>60</v>
      </c>
      <c r="G51" s="133" t="s">
        <v>81</v>
      </c>
      <c r="H51" s="119">
        <v>1989</v>
      </c>
      <c r="I51" s="119">
        <v>88</v>
      </c>
      <c r="J51" s="119">
        <v>5</v>
      </c>
      <c r="K51" s="119">
        <v>2029</v>
      </c>
      <c r="L51" s="134"/>
      <c r="M51" s="135" t="s">
        <v>97</v>
      </c>
      <c r="N51" s="120">
        <v>4.5</v>
      </c>
      <c r="O51" s="131"/>
      <c r="Q51" s="124"/>
      <c r="R51" s="124" t="s">
        <v>224</v>
      </c>
    </row>
    <row r="52" spans="1:18" ht="31.5" customHeight="1" x14ac:dyDescent="0.25">
      <c r="A52" s="164">
        <f t="shared" si="1"/>
        <v>29</v>
      </c>
      <c r="B52" s="119">
        <v>1</v>
      </c>
      <c r="C52" s="136"/>
      <c r="D52" s="157"/>
      <c r="E52" s="133" t="s">
        <v>28</v>
      </c>
      <c r="F52" s="133" t="s">
        <v>61</v>
      </c>
      <c r="G52" s="133" t="s">
        <v>84</v>
      </c>
      <c r="H52" s="119">
        <v>1969</v>
      </c>
      <c r="I52" s="119">
        <v>125</v>
      </c>
      <c r="J52" s="119">
        <v>5</v>
      </c>
      <c r="K52" s="119">
        <v>2029</v>
      </c>
      <c r="L52" s="134"/>
      <c r="M52" s="135" t="s">
        <v>112</v>
      </c>
      <c r="N52" s="120">
        <v>5.8</v>
      </c>
      <c r="O52" s="131"/>
      <c r="Q52" s="124"/>
      <c r="R52" s="124" t="s">
        <v>224</v>
      </c>
    </row>
    <row r="53" spans="1:18" ht="36" x14ac:dyDescent="0.25">
      <c r="A53" s="164">
        <f t="shared" si="1"/>
        <v>30</v>
      </c>
      <c r="B53" s="119">
        <v>1</v>
      </c>
      <c r="C53" s="136"/>
      <c r="D53" s="157"/>
      <c r="E53" s="148" t="s">
        <v>29</v>
      </c>
      <c r="F53" s="133" t="s">
        <v>62</v>
      </c>
      <c r="G53" s="133" t="s">
        <v>81</v>
      </c>
      <c r="H53" s="119">
        <v>1975</v>
      </c>
      <c r="I53" s="119">
        <v>550</v>
      </c>
      <c r="J53" s="119">
        <v>5</v>
      </c>
      <c r="K53" s="119">
        <v>2030</v>
      </c>
      <c r="L53" s="134"/>
      <c r="M53" s="135" t="s">
        <v>107</v>
      </c>
      <c r="N53" s="120">
        <v>5.2</v>
      </c>
      <c r="O53" s="131"/>
      <c r="Q53" s="124"/>
      <c r="R53" s="124" t="s">
        <v>224</v>
      </c>
    </row>
    <row r="54" spans="1:18" ht="50.25" customHeight="1" x14ac:dyDescent="0.25">
      <c r="A54" s="164">
        <v>31</v>
      </c>
      <c r="B54" s="119">
        <v>1</v>
      </c>
      <c r="C54" s="136"/>
      <c r="D54" s="158"/>
      <c r="E54" s="133" t="s">
        <v>30</v>
      </c>
      <c r="F54" s="133" t="s">
        <v>63</v>
      </c>
      <c r="G54" s="133" t="s">
        <v>82</v>
      </c>
      <c r="H54" s="119">
        <v>1973</v>
      </c>
      <c r="I54" s="119">
        <v>600</v>
      </c>
      <c r="J54" s="119">
        <v>4</v>
      </c>
      <c r="K54" s="119">
        <v>2030</v>
      </c>
      <c r="L54" s="134"/>
      <c r="M54" s="135" t="s">
        <v>104</v>
      </c>
      <c r="N54" s="120">
        <v>5.5</v>
      </c>
      <c r="O54" s="131"/>
      <c r="Q54" s="124" t="s">
        <v>249</v>
      </c>
      <c r="R54" s="124" t="s">
        <v>224</v>
      </c>
    </row>
    <row r="55" spans="1:18" ht="21" customHeight="1" x14ac:dyDescent="0.25">
      <c r="A55" s="164"/>
      <c r="B55" s="141"/>
      <c r="C55" s="230" t="s">
        <v>225</v>
      </c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2"/>
      <c r="Q55" s="124"/>
      <c r="R55" s="124"/>
    </row>
    <row r="56" spans="1:18" ht="60" x14ac:dyDescent="0.25">
      <c r="A56" s="164">
        <f>A54+1</f>
        <v>32</v>
      </c>
      <c r="B56" s="141">
        <v>1</v>
      </c>
      <c r="C56" s="125" t="s">
        <v>123</v>
      </c>
      <c r="D56" s="155" t="s">
        <v>205</v>
      </c>
      <c r="E56" s="133" t="s">
        <v>31</v>
      </c>
      <c r="F56" s="133" t="s">
        <v>64</v>
      </c>
      <c r="G56" s="133" t="s">
        <v>84</v>
      </c>
      <c r="H56" s="119">
        <v>1972</v>
      </c>
      <c r="I56" s="119">
        <v>828</v>
      </c>
      <c r="J56" s="119">
        <v>3</v>
      </c>
      <c r="K56" s="119">
        <v>2027</v>
      </c>
      <c r="L56" s="134"/>
      <c r="M56" s="135" t="s">
        <v>101</v>
      </c>
      <c r="N56" s="120">
        <v>5</v>
      </c>
      <c r="O56" s="131"/>
      <c r="Q56" s="124"/>
      <c r="R56" s="124" t="s">
        <v>194</v>
      </c>
    </row>
    <row r="57" spans="1:18" ht="37.5" customHeight="1" x14ac:dyDescent="0.25">
      <c r="A57" s="164">
        <f t="shared" si="1"/>
        <v>33</v>
      </c>
      <c r="B57" s="141">
        <v>1</v>
      </c>
      <c r="C57" s="132"/>
      <c r="D57" s="154"/>
      <c r="E57" s="133" t="s">
        <v>32</v>
      </c>
      <c r="F57" s="133" t="s">
        <v>65</v>
      </c>
      <c r="G57" s="133" t="s">
        <v>84</v>
      </c>
      <c r="H57" s="119">
        <v>1984</v>
      </c>
      <c r="I57" s="119">
        <v>1380</v>
      </c>
      <c r="J57" s="119">
        <v>3</v>
      </c>
      <c r="K57" s="189">
        <v>2026</v>
      </c>
      <c r="L57" s="134"/>
      <c r="M57" s="135" t="s">
        <v>113</v>
      </c>
      <c r="N57" s="120">
        <v>6.8</v>
      </c>
      <c r="O57" s="131"/>
      <c r="Q57" s="124"/>
      <c r="R57" s="124" t="s">
        <v>194</v>
      </c>
    </row>
    <row r="58" spans="1:18" ht="48" x14ac:dyDescent="0.25">
      <c r="A58" s="164">
        <f t="shared" si="1"/>
        <v>34</v>
      </c>
      <c r="B58" s="119">
        <v>1</v>
      </c>
      <c r="C58" s="139" t="s">
        <v>218</v>
      </c>
      <c r="D58" s="153" t="s">
        <v>206</v>
      </c>
      <c r="E58" s="133" t="s">
        <v>67</v>
      </c>
      <c r="F58" s="133" t="s">
        <v>66</v>
      </c>
      <c r="G58" s="133" t="s">
        <v>84</v>
      </c>
      <c r="H58" s="119">
        <v>1954</v>
      </c>
      <c r="I58" s="119">
        <v>50</v>
      </c>
      <c r="J58" s="119">
        <v>5</v>
      </c>
      <c r="K58" s="119">
        <v>2029</v>
      </c>
      <c r="L58" s="134"/>
      <c r="M58" s="135" t="s">
        <v>114</v>
      </c>
      <c r="N58" s="120">
        <v>1.9</v>
      </c>
      <c r="O58" s="131"/>
      <c r="Q58" s="124"/>
      <c r="R58" s="124" t="s">
        <v>194</v>
      </c>
    </row>
    <row r="59" spans="1:18" ht="35.25" customHeight="1" x14ac:dyDescent="0.25">
      <c r="A59" s="164">
        <f t="shared" si="1"/>
        <v>35</v>
      </c>
      <c r="B59" s="119">
        <v>1</v>
      </c>
      <c r="C59" s="136"/>
      <c r="D59" s="153"/>
      <c r="E59" s="133" t="s">
        <v>68</v>
      </c>
      <c r="F59" s="133" t="s">
        <v>70</v>
      </c>
      <c r="G59" s="133" t="s">
        <v>84</v>
      </c>
      <c r="H59" s="119">
        <v>1968</v>
      </c>
      <c r="I59" s="119">
        <v>1020</v>
      </c>
      <c r="J59" s="119">
        <v>3</v>
      </c>
      <c r="K59" s="119">
        <v>2027</v>
      </c>
      <c r="L59" s="134"/>
      <c r="M59" s="135" t="s">
        <v>108</v>
      </c>
      <c r="N59" s="120">
        <v>6.5</v>
      </c>
      <c r="O59" s="131"/>
      <c r="Q59" s="124"/>
      <c r="R59" s="124" t="s">
        <v>194</v>
      </c>
    </row>
    <row r="60" spans="1:18" ht="34.5" customHeight="1" x14ac:dyDescent="0.25">
      <c r="A60" s="164">
        <f t="shared" si="1"/>
        <v>36</v>
      </c>
      <c r="B60" s="119">
        <v>1</v>
      </c>
      <c r="C60" s="136"/>
      <c r="D60" s="153"/>
      <c r="E60" s="133" t="s">
        <v>69</v>
      </c>
      <c r="F60" s="133" t="s">
        <v>70</v>
      </c>
      <c r="G60" s="133" t="s">
        <v>84</v>
      </c>
      <c r="H60" s="119">
        <v>1957</v>
      </c>
      <c r="I60" s="119">
        <v>983</v>
      </c>
      <c r="J60" s="119">
        <v>3</v>
      </c>
      <c r="K60" s="189">
        <v>2026</v>
      </c>
      <c r="L60" s="134"/>
      <c r="M60" s="135" t="s">
        <v>108</v>
      </c>
      <c r="N60" s="120">
        <v>6.5</v>
      </c>
      <c r="O60" s="131"/>
      <c r="Q60" s="124"/>
      <c r="R60" s="124" t="s">
        <v>194</v>
      </c>
    </row>
    <row r="61" spans="1:18" ht="34.5" customHeight="1" x14ac:dyDescent="0.25">
      <c r="A61" s="164">
        <f t="shared" si="1"/>
        <v>37</v>
      </c>
      <c r="B61" s="119">
        <v>1</v>
      </c>
      <c r="C61" s="145"/>
      <c r="D61" s="158"/>
      <c r="E61" s="133" t="s">
        <v>128</v>
      </c>
      <c r="F61" s="133" t="s">
        <v>124</v>
      </c>
      <c r="G61" s="133" t="s">
        <v>84</v>
      </c>
      <c r="H61" s="119">
        <v>1989</v>
      </c>
      <c r="I61" s="119">
        <v>56.2</v>
      </c>
      <c r="J61" s="119">
        <v>3</v>
      </c>
      <c r="K61" s="119">
        <v>2029</v>
      </c>
      <c r="L61" s="134"/>
      <c r="M61" s="135" t="s">
        <v>110</v>
      </c>
      <c r="N61" s="120">
        <v>1.5</v>
      </c>
      <c r="O61" s="131"/>
      <c r="Q61" s="124"/>
      <c r="R61" s="124" t="s">
        <v>194</v>
      </c>
    </row>
    <row r="62" spans="1:18" ht="64.900000000000006" customHeight="1" x14ac:dyDescent="0.25">
      <c r="A62" s="164">
        <v>38</v>
      </c>
      <c r="B62" s="119">
        <v>1</v>
      </c>
      <c r="C62" s="125" t="s">
        <v>122</v>
      </c>
      <c r="D62" s="157"/>
      <c r="E62" s="146" t="s">
        <v>71</v>
      </c>
      <c r="F62" s="146" t="s">
        <v>72</v>
      </c>
      <c r="G62" s="146" t="s">
        <v>82</v>
      </c>
      <c r="H62" s="147">
        <v>1969</v>
      </c>
      <c r="I62" s="147">
        <v>600</v>
      </c>
      <c r="J62" s="147">
        <v>4</v>
      </c>
      <c r="K62" s="119">
        <v>2027</v>
      </c>
      <c r="L62" s="134"/>
      <c r="M62" s="135" t="s">
        <v>115</v>
      </c>
      <c r="N62" s="120">
        <v>2.4</v>
      </c>
      <c r="O62" s="131"/>
      <c r="Q62" s="124"/>
      <c r="R62" s="124" t="s">
        <v>194</v>
      </c>
    </row>
    <row r="63" spans="1:18" ht="35.25" customHeight="1" x14ac:dyDescent="0.25">
      <c r="A63" s="164">
        <f t="shared" si="1"/>
        <v>39</v>
      </c>
      <c r="B63" s="119">
        <v>1</v>
      </c>
      <c r="C63" s="136"/>
      <c r="D63" s="157"/>
      <c r="E63" s="146" t="s">
        <v>222</v>
      </c>
      <c r="F63" s="146" t="s">
        <v>73</v>
      </c>
      <c r="G63" s="146" t="s">
        <v>85</v>
      </c>
      <c r="H63" s="147">
        <v>1988</v>
      </c>
      <c r="I63" s="147">
        <v>190</v>
      </c>
      <c r="J63" s="147">
        <v>3</v>
      </c>
      <c r="K63" s="119">
        <v>2028</v>
      </c>
      <c r="L63" s="134"/>
      <c r="M63" s="135" t="s">
        <v>116</v>
      </c>
      <c r="N63" s="120">
        <v>3.5</v>
      </c>
      <c r="O63" s="131"/>
      <c r="Q63" s="124"/>
      <c r="R63" s="124" t="s">
        <v>194</v>
      </c>
    </row>
    <row r="64" spans="1:18" ht="36" x14ac:dyDescent="0.25">
      <c r="A64" s="164">
        <f t="shared" si="1"/>
        <v>40</v>
      </c>
      <c r="B64" s="119">
        <v>1</v>
      </c>
      <c r="C64" s="136"/>
      <c r="D64" s="157"/>
      <c r="E64" s="146" t="s">
        <v>74</v>
      </c>
      <c r="F64" s="146" t="s">
        <v>75</v>
      </c>
      <c r="G64" s="146" t="s">
        <v>87</v>
      </c>
      <c r="H64" s="147">
        <v>1984</v>
      </c>
      <c r="I64" s="147">
        <v>940</v>
      </c>
      <c r="J64" s="147">
        <v>5</v>
      </c>
      <c r="K64" s="119">
        <v>2030</v>
      </c>
      <c r="L64" s="134"/>
      <c r="M64" s="135" t="s">
        <v>117</v>
      </c>
      <c r="N64" s="120">
        <v>10</v>
      </c>
      <c r="O64" s="131"/>
      <c r="Q64" s="124"/>
      <c r="R64" s="124" t="s">
        <v>194</v>
      </c>
    </row>
    <row r="65" spans="1:20" ht="31.5" customHeight="1" x14ac:dyDescent="0.25">
      <c r="A65" s="164">
        <v>41</v>
      </c>
      <c r="B65" s="119">
        <v>1</v>
      </c>
      <c r="C65" s="136"/>
      <c r="D65" s="157"/>
      <c r="E65" s="146" t="s">
        <v>223</v>
      </c>
      <c r="F65" s="146" t="s">
        <v>76</v>
      </c>
      <c r="G65" s="146" t="s">
        <v>84</v>
      </c>
      <c r="H65" s="147">
        <v>1984</v>
      </c>
      <c r="I65" s="147">
        <v>150</v>
      </c>
      <c r="J65" s="147">
        <v>3</v>
      </c>
      <c r="K65" s="189">
        <v>2026</v>
      </c>
      <c r="L65" s="134"/>
      <c r="M65" s="135" t="s">
        <v>110</v>
      </c>
      <c r="N65" s="120">
        <v>1.5</v>
      </c>
      <c r="O65" s="131"/>
      <c r="Q65" s="124"/>
      <c r="R65" s="124" t="s">
        <v>194</v>
      </c>
    </row>
    <row r="66" spans="1:20" ht="61.15" customHeight="1" x14ac:dyDescent="0.25">
      <c r="A66" s="204">
        <f t="shared" si="1"/>
        <v>42</v>
      </c>
      <c r="B66" s="205">
        <v>1</v>
      </c>
      <c r="C66" s="140"/>
      <c r="D66" s="206"/>
      <c r="E66" s="148" t="s">
        <v>227</v>
      </c>
      <c r="F66" s="148" t="s">
        <v>75</v>
      </c>
      <c r="G66" s="148" t="s">
        <v>228</v>
      </c>
      <c r="H66" s="121">
        <v>1982</v>
      </c>
      <c r="I66" s="121">
        <v>130</v>
      </c>
      <c r="J66" s="121">
        <v>3</v>
      </c>
      <c r="K66" s="121">
        <v>2030</v>
      </c>
      <c r="L66" s="121" t="s">
        <v>226</v>
      </c>
      <c r="M66" s="135" t="s">
        <v>110</v>
      </c>
      <c r="N66" s="207">
        <v>1.5</v>
      </c>
      <c r="O66" s="208"/>
      <c r="P66" s="200"/>
      <c r="Q66" s="209"/>
      <c r="R66" s="124" t="s">
        <v>194</v>
      </c>
    </row>
    <row r="67" spans="1:20" ht="15.75" x14ac:dyDescent="0.25">
      <c r="A67" s="164"/>
      <c r="B67" s="119"/>
      <c r="C67" s="185" t="s">
        <v>210</v>
      </c>
      <c r="D67" s="173"/>
      <c r="E67" s="174"/>
      <c r="F67" s="174"/>
      <c r="G67" s="174"/>
      <c r="H67" s="175"/>
      <c r="I67" s="175"/>
      <c r="J67" s="175"/>
      <c r="K67" s="176"/>
      <c r="L67" s="177"/>
      <c r="M67" s="178"/>
      <c r="N67" s="120"/>
      <c r="O67" s="131"/>
      <c r="Q67" s="124"/>
      <c r="R67" s="124"/>
    </row>
    <row r="68" spans="1:20" ht="15.75" x14ac:dyDescent="0.25">
      <c r="A68" s="164"/>
      <c r="B68" s="119"/>
      <c r="C68" s="123" t="s">
        <v>33</v>
      </c>
      <c r="D68" s="173"/>
      <c r="E68" s="174"/>
      <c r="F68" s="174"/>
      <c r="G68" s="174"/>
      <c r="H68" s="175"/>
      <c r="I68" s="175"/>
      <c r="J68" s="175"/>
      <c r="K68" s="176"/>
      <c r="L68" s="177"/>
      <c r="M68" s="178"/>
      <c r="N68" s="120"/>
      <c r="O68" s="131"/>
      <c r="Q68" s="124"/>
      <c r="R68" s="124"/>
    </row>
    <row r="69" spans="1:20" ht="35.25" customHeight="1" x14ac:dyDescent="0.25">
      <c r="A69" s="164">
        <v>1</v>
      </c>
      <c r="B69" s="119">
        <v>1</v>
      </c>
      <c r="C69" s="179" t="s">
        <v>77</v>
      </c>
      <c r="D69" s="156" t="s">
        <v>77</v>
      </c>
      <c r="E69" s="146" t="s">
        <v>78</v>
      </c>
      <c r="F69" s="148" t="s">
        <v>79</v>
      </c>
      <c r="G69" s="146" t="s">
        <v>88</v>
      </c>
      <c r="H69" s="147">
        <v>1969</v>
      </c>
      <c r="I69" s="147">
        <v>101</v>
      </c>
      <c r="J69" s="147">
        <v>3</v>
      </c>
      <c r="K69" s="147">
        <v>2027</v>
      </c>
      <c r="L69" s="134"/>
      <c r="M69" s="135" t="s">
        <v>109</v>
      </c>
      <c r="N69" s="120">
        <v>3.5</v>
      </c>
      <c r="O69" s="131"/>
      <c r="Q69" s="124"/>
      <c r="R69" s="124" t="s">
        <v>195</v>
      </c>
    </row>
    <row r="70" spans="1:20" ht="42.75" customHeight="1" x14ac:dyDescent="0.25">
      <c r="A70" s="164">
        <f>A69+1</f>
        <v>2</v>
      </c>
      <c r="B70" s="119">
        <v>1</v>
      </c>
      <c r="C70" s="180"/>
      <c r="D70" s="157"/>
      <c r="E70" s="146" t="s">
        <v>130</v>
      </c>
      <c r="F70" s="146" t="s">
        <v>131</v>
      </c>
      <c r="G70" s="146" t="s">
        <v>88</v>
      </c>
      <c r="H70" s="147">
        <v>1964</v>
      </c>
      <c r="I70" s="147">
        <v>51</v>
      </c>
      <c r="J70" s="147">
        <v>2</v>
      </c>
      <c r="K70" s="147">
        <v>2027</v>
      </c>
      <c r="L70" s="119" t="s">
        <v>212</v>
      </c>
      <c r="M70" s="135" t="s">
        <v>129</v>
      </c>
      <c r="N70" s="120">
        <v>1.8</v>
      </c>
      <c r="O70" s="131"/>
      <c r="Q70" s="124"/>
      <c r="R70" s="124" t="s">
        <v>195</v>
      </c>
    </row>
    <row r="71" spans="1:20" ht="54.75" customHeight="1" x14ac:dyDescent="0.25">
      <c r="A71" s="164">
        <f>A70+1</f>
        <v>3</v>
      </c>
      <c r="B71" s="119">
        <v>1</v>
      </c>
      <c r="C71" s="180"/>
      <c r="D71" s="157"/>
      <c r="E71" s="146" t="s">
        <v>257</v>
      </c>
      <c r="F71" s="148" t="s">
        <v>250</v>
      </c>
      <c r="G71" s="146" t="s">
        <v>88</v>
      </c>
      <c r="H71" s="147">
        <v>1967</v>
      </c>
      <c r="I71" s="147">
        <v>82</v>
      </c>
      <c r="J71" s="147">
        <v>4</v>
      </c>
      <c r="K71" s="147">
        <v>2026</v>
      </c>
      <c r="L71" s="134"/>
      <c r="M71" s="135" t="s">
        <v>98</v>
      </c>
      <c r="N71" s="120">
        <v>7</v>
      </c>
      <c r="O71" s="131"/>
      <c r="Q71" s="124"/>
      <c r="R71" s="124" t="s">
        <v>195</v>
      </c>
    </row>
    <row r="72" spans="1:20" ht="45" customHeight="1" x14ac:dyDescent="0.25">
      <c r="A72" s="164">
        <f t="shared" ref="A72" si="2">A71+1</f>
        <v>4</v>
      </c>
      <c r="B72" s="119">
        <v>1</v>
      </c>
      <c r="C72" s="180"/>
      <c r="D72" s="157"/>
      <c r="E72" s="146" t="s">
        <v>252</v>
      </c>
      <c r="F72" s="145" t="s">
        <v>251</v>
      </c>
      <c r="G72" s="146" t="s">
        <v>82</v>
      </c>
      <c r="H72" s="147">
        <v>1977</v>
      </c>
      <c r="I72" s="147">
        <v>158</v>
      </c>
      <c r="J72" s="147">
        <v>2</v>
      </c>
      <c r="K72" s="147">
        <v>2026</v>
      </c>
      <c r="L72" s="134"/>
      <c r="M72" s="135" t="s">
        <v>118</v>
      </c>
      <c r="N72" s="120">
        <v>1</v>
      </c>
      <c r="O72" s="131"/>
      <c r="Q72" s="124"/>
      <c r="R72" s="124" t="s">
        <v>195</v>
      </c>
    </row>
    <row r="73" spans="1:20" ht="57.75" customHeight="1" x14ac:dyDescent="0.25">
      <c r="A73" s="164">
        <v>5</v>
      </c>
      <c r="B73" s="164">
        <v>1</v>
      </c>
      <c r="C73" s="172"/>
      <c r="E73" s="221" t="s">
        <v>253</v>
      </c>
      <c r="F73" s="221" t="s">
        <v>254</v>
      </c>
      <c r="G73" s="221" t="s">
        <v>88</v>
      </c>
      <c r="H73" s="222">
        <v>1978</v>
      </c>
      <c r="I73" s="222">
        <v>77</v>
      </c>
      <c r="J73" s="134">
        <v>3</v>
      </c>
      <c r="K73" s="134">
        <v>2026</v>
      </c>
      <c r="L73" s="131"/>
      <c r="M73" s="224" t="s">
        <v>94</v>
      </c>
      <c r="N73" s="225">
        <v>3</v>
      </c>
      <c r="O73" s="131"/>
      <c r="Q73" s="124"/>
      <c r="R73" s="124" t="s">
        <v>195</v>
      </c>
      <c r="T73" s="211" t="s">
        <v>259</v>
      </c>
    </row>
    <row r="74" spans="1:20" ht="57.75" customHeight="1" x14ac:dyDescent="0.25">
      <c r="A74" s="164">
        <v>6</v>
      </c>
      <c r="B74" s="164">
        <v>1</v>
      </c>
      <c r="C74" s="172"/>
      <c r="E74" s="221" t="s">
        <v>255</v>
      </c>
      <c r="F74" s="221" t="s">
        <v>256</v>
      </c>
      <c r="G74" s="221" t="s">
        <v>88</v>
      </c>
      <c r="H74" s="222">
        <v>1970</v>
      </c>
      <c r="I74" s="222">
        <v>58</v>
      </c>
      <c r="J74" s="222">
        <v>2</v>
      </c>
      <c r="K74" s="222">
        <v>2026</v>
      </c>
      <c r="L74" s="223">
        <v>2026</v>
      </c>
      <c r="M74" s="224" t="s">
        <v>258</v>
      </c>
      <c r="N74" s="225">
        <v>2</v>
      </c>
      <c r="O74" s="131"/>
      <c r="Q74" s="124"/>
      <c r="R74" s="124" t="s">
        <v>195</v>
      </c>
      <c r="T74" s="211" t="s">
        <v>259</v>
      </c>
    </row>
    <row r="75" spans="1:20" ht="49.15" hidden="1" customHeight="1" x14ac:dyDescent="0.25">
      <c r="C75" s="161" t="s">
        <v>247</v>
      </c>
      <c r="D75" s="217"/>
      <c r="E75" s="218"/>
      <c r="F75" s="219"/>
      <c r="G75" s="219"/>
      <c r="I75" s="220" t="s">
        <v>248</v>
      </c>
      <c r="J75" s="220"/>
    </row>
  </sheetData>
  <sheetProtection algorithmName="SHA-512" hashValue="uS2R0balfqI3/jii6ypdN5ffHKo6Ov8cWEQNSBGcr4lpgBO3W/BYVsoj5miu8h9o9ICDW5TCTjz8UBxsow6pOg==" saltValue="JKJREhC+BSiCipLOr93E4w==" spinCount="100000" sheet="1" formatCells="0" formatColumns="0" formatRows="0" insertRows="0" deleteRows="0" sort="0" autoFilter="0"/>
  <autoFilter ref="A11:R75" xr:uid="{00000000-0009-0000-0000-000000000000}"/>
  <mergeCells count="3">
    <mergeCell ref="A43:O43"/>
    <mergeCell ref="C55:O55"/>
    <mergeCell ref="C38:C41"/>
  </mergeCells>
  <pageMargins left="0.23622047244094491" right="0.23622047244094491" top="0.74803149606299213" bottom="0.55118110236220474" header="0" footer="0"/>
  <pageSetup paperSize="9" scale="90" fitToHeight="0" orientation="landscape" r:id="rId1"/>
  <rowBreaks count="1" manualBreakCount="1">
    <brk id="6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Y67"/>
  <sheetViews>
    <sheetView zoomScaleNormal="100" workbookViewId="0">
      <selection activeCell="K55" sqref="K55"/>
    </sheetView>
  </sheetViews>
  <sheetFormatPr defaultRowHeight="15" x14ac:dyDescent="0.25"/>
  <cols>
    <col min="1" max="1" width="17.42578125" customWidth="1"/>
    <col min="2" max="2" width="6.28515625" customWidth="1"/>
    <col min="3" max="3" width="6.140625" customWidth="1"/>
    <col min="4" max="4" width="5.7109375" customWidth="1"/>
    <col min="5" max="5" width="6.5703125" customWidth="1"/>
    <col min="6" max="6" width="5.85546875" bestFit="1" customWidth="1"/>
    <col min="7" max="7" width="8.7109375" customWidth="1"/>
    <col min="8" max="8" width="7.140625" customWidth="1"/>
    <col min="9" max="9" width="5.42578125" bestFit="1" customWidth="1"/>
    <col min="10" max="10" width="6" customWidth="1"/>
    <col min="11" max="11" width="7.140625" customWidth="1"/>
    <col min="12" max="12" width="5.85546875" bestFit="1" customWidth="1"/>
    <col min="13" max="13" width="9.140625" bestFit="1" customWidth="1"/>
    <col min="14" max="14" width="5.85546875" customWidth="1"/>
    <col min="15" max="15" width="5.5703125" customWidth="1"/>
    <col min="16" max="16" width="5.42578125" customWidth="1"/>
    <col min="17" max="17" width="6.42578125" customWidth="1"/>
    <col min="18" max="18" width="5.85546875" customWidth="1"/>
    <col min="19" max="19" width="9.140625" bestFit="1" customWidth="1"/>
    <col min="20" max="20" width="6.42578125" bestFit="1" customWidth="1"/>
    <col min="21" max="21" width="5.5703125" customWidth="1"/>
    <col min="22" max="22" width="5.42578125" customWidth="1"/>
    <col min="23" max="23" width="7" customWidth="1"/>
    <col min="24" max="24" width="5.85546875" customWidth="1"/>
    <col min="25" max="25" width="9.28515625" customWidth="1"/>
    <col min="26" max="26" width="8.140625" customWidth="1"/>
    <col min="27" max="27" width="5.5703125" customWidth="1"/>
    <col min="28" max="28" width="5.42578125" customWidth="1"/>
    <col min="29" max="29" width="7.85546875" customWidth="1"/>
    <col min="30" max="30" width="5.85546875" customWidth="1"/>
    <col min="31" max="31" width="9.140625" bestFit="1" customWidth="1"/>
    <col min="32" max="32" width="7.5703125" customWidth="1"/>
    <col min="33" max="33" width="5.42578125" bestFit="1" customWidth="1"/>
    <col min="34" max="34" width="5.7109375" customWidth="1"/>
    <col min="35" max="35" width="6.5703125" bestFit="1" customWidth="1"/>
    <col min="36" max="36" width="5.85546875" bestFit="1" customWidth="1"/>
    <col min="37" max="37" width="9.28515625" customWidth="1"/>
    <col min="38" max="38" width="6.85546875" customWidth="1"/>
    <col min="39" max="39" width="5.42578125" customWidth="1"/>
    <col min="40" max="40" width="5.28515625" customWidth="1"/>
    <col min="41" max="41" width="6.5703125" customWidth="1"/>
    <col min="42" max="42" width="5.85546875" customWidth="1"/>
    <col min="43" max="43" width="9.140625" bestFit="1" customWidth="1"/>
    <col min="44" max="44" width="8" customWidth="1"/>
    <col min="45" max="45" width="5.42578125" customWidth="1"/>
    <col min="46" max="46" width="5.85546875" customWidth="1"/>
    <col min="47" max="47" width="6.5703125" customWidth="1"/>
    <col min="48" max="48" width="5.85546875" customWidth="1"/>
    <col min="49" max="49" width="9.140625" bestFit="1" customWidth="1"/>
    <col min="50" max="50" width="7" customWidth="1"/>
    <col min="51" max="51" width="5.42578125" customWidth="1"/>
    <col min="52" max="52" width="5.5703125" customWidth="1"/>
    <col min="53" max="53" width="7.42578125" customWidth="1"/>
    <col min="54" max="54" width="5.85546875" customWidth="1"/>
    <col min="55" max="55" width="9.42578125" customWidth="1"/>
    <col min="56" max="56" width="7.28515625" customWidth="1"/>
    <col min="57" max="57" width="5.42578125" customWidth="1"/>
    <col min="58" max="58" width="5.7109375" customWidth="1"/>
    <col min="59" max="59" width="7.140625" customWidth="1"/>
    <col min="60" max="60" width="5.85546875" customWidth="1"/>
    <col min="61" max="61" width="9.42578125" customWidth="1"/>
    <col min="62" max="62" width="7" customWidth="1"/>
    <col min="63" max="63" width="5.42578125" customWidth="1"/>
    <col min="64" max="64" width="6.28515625" customWidth="1"/>
    <col min="65" max="65" width="6.5703125" customWidth="1"/>
    <col min="66" max="66" width="5.85546875" customWidth="1"/>
    <col min="67" max="67" width="9.85546875" customWidth="1"/>
    <col min="68" max="68" width="6.5703125" customWidth="1"/>
    <col min="69" max="69" width="5.42578125" customWidth="1"/>
    <col min="70" max="70" width="5.7109375" customWidth="1"/>
    <col min="71" max="71" width="6.5703125" customWidth="1"/>
    <col min="72" max="72" width="5.85546875" customWidth="1"/>
    <col min="73" max="73" width="9.140625" customWidth="1"/>
    <col min="74" max="74" width="7.85546875" customWidth="1"/>
    <col min="75" max="75" width="5.42578125" customWidth="1"/>
    <col min="76" max="76" width="6.28515625" customWidth="1"/>
    <col min="77" max="77" width="6.5703125" customWidth="1"/>
    <col min="78" max="78" width="5.85546875" customWidth="1"/>
    <col min="79" max="79" width="9.140625" customWidth="1"/>
    <col min="80" max="80" width="7.28515625" customWidth="1"/>
    <col min="81" max="81" width="5.42578125" customWidth="1"/>
    <col min="82" max="82" width="5.5703125" customWidth="1"/>
    <col min="83" max="83" width="7.42578125" customWidth="1"/>
    <col min="84" max="84" width="5.85546875" customWidth="1"/>
    <col min="85" max="85" width="9.140625" customWidth="1"/>
    <col min="86" max="86" width="7.42578125" customWidth="1"/>
    <col min="87" max="87" width="5.42578125" customWidth="1"/>
    <col min="88" max="88" width="6.28515625" customWidth="1"/>
    <col min="89" max="89" width="7.140625" customWidth="1"/>
    <col min="90" max="90" width="5.85546875" customWidth="1"/>
    <col min="91" max="91" width="9.140625" bestFit="1" customWidth="1"/>
    <col min="92" max="92" width="6.7109375" customWidth="1"/>
    <col min="93" max="93" width="5.42578125" customWidth="1"/>
    <col min="94" max="94" width="5.7109375" customWidth="1"/>
    <col min="95" max="95" width="7.140625" customWidth="1"/>
    <col min="96" max="96" width="5.85546875" customWidth="1"/>
    <col min="97" max="97" width="9.85546875" customWidth="1"/>
    <col min="98" max="98" width="7.140625" customWidth="1"/>
    <col min="99" max="99" width="5.42578125" customWidth="1"/>
    <col min="100" max="100" width="6" customWidth="1"/>
    <col min="101" max="101" width="7.140625" customWidth="1"/>
    <col min="102" max="102" width="5.85546875" customWidth="1"/>
    <col min="103" max="103" width="9" customWidth="1"/>
    <col min="104" max="104" width="10.28515625" customWidth="1"/>
    <col min="105" max="105" width="11.140625" customWidth="1"/>
    <col min="106" max="106" width="7.42578125" customWidth="1"/>
    <col min="107" max="107" width="5.42578125" customWidth="1"/>
    <col min="108" max="108" width="5.7109375" bestFit="1" customWidth="1"/>
    <col min="109" max="109" width="6.5703125" customWidth="1"/>
    <col min="110" max="110" width="5.85546875" customWidth="1"/>
    <col min="111" max="111" width="9.140625" bestFit="1" customWidth="1"/>
    <col min="112" max="112" width="6.5703125" customWidth="1"/>
    <col min="113" max="113" width="5.42578125" customWidth="1"/>
    <col min="114" max="114" width="5.7109375" customWidth="1"/>
    <col min="115" max="115" width="6.5703125" customWidth="1"/>
    <col min="116" max="116" width="5.85546875" customWidth="1"/>
    <col min="117" max="117" width="9.28515625" customWidth="1"/>
    <col min="118" max="118" width="6.140625" customWidth="1"/>
    <col min="119" max="119" width="5.42578125" customWidth="1"/>
    <col min="120" max="120" width="5.85546875" customWidth="1"/>
    <col min="121" max="121" width="6.5703125" customWidth="1"/>
    <col min="122" max="122" width="5.85546875" customWidth="1"/>
    <col min="123" max="123" width="9.5703125" customWidth="1"/>
    <col min="124" max="124" width="7" customWidth="1"/>
    <col min="125" max="125" width="5.42578125" customWidth="1"/>
    <col min="126" max="126" width="5.7109375" bestFit="1" customWidth="1"/>
    <col min="127" max="127" width="7.42578125" customWidth="1"/>
    <col min="128" max="128" width="5.85546875" customWidth="1"/>
    <col min="129" max="129" width="9.140625" bestFit="1" customWidth="1"/>
  </cols>
  <sheetData>
    <row r="1" spans="1:129" s="3" customFormat="1" ht="21.75" customHeight="1" thickBot="1" x14ac:dyDescent="0.3">
      <c r="A1" s="290" t="s">
        <v>135</v>
      </c>
      <c r="B1" s="292" t="s">
        <v>136</v>
      </c>
      <c r="C1" s="293"/>
      <c r="D1" s="293"/>
      <c r="E1" s="293"/>
      <c r="F1" s="293"/>
      <c r="G1" s="294"/>
      <c r="H1" s="298" t="s">
        <v>137</v>
      </c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9"/>
      <c r="AF1" s="275" t="s">
        <v>138</v>
      </c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6"/>
      <c r="BD1" s="300" t="s">
        <v>139</v>
      </c>
      <c r="BE1" s="300"/>
      <c r="BF1" s="300"/>
      <c r="BG1" s="300"/>
      <c r="BH1" s="300"/>
      <c r="BI1" s="300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9"/>
      <c r="CT1" s="301" t="s">
        <v>140</v>
      </c>
      <c r="CU1" s="301"/>
      <c r="CV1" s="301"/>
      <c r="CW1" s="301"/>
      <c r="CX1" s="301"/>
      <c r="CY1" s="302"/>
      <c r="DA1" s="3" t="s">
        <v>141</v>
      </c>
      <c r="DB1" s="274" t="s">
        <v>142</v>
      </c>
      <c r="DC1" s="275"/>
      <c r="DD1" s="275"/>
      <c r="DE1" s="275"/>
      <c r="DF1" s="275"/>
      <c r="DG1" s="275"/>
      <c r="DH1" s="275"/>
      <c r="DI1" s="275"/>
      <c r="DJ1" s="275"/>
      <c r="DK1" s="275"/>
      <c r="DL1" s="275"/>
      <c r="DM1" s="275"/>
      <c r="DN1" s="275"/>
      <c r="DO1" s="275"/>
      <c r="DP1" s="275"/>
      <c r="DQ1" s="275"/>
      <c r="DR1" s="275"/>
      <c r="DS1" s="275"/>
      <c r="DT1" s="275"/>
      <c r="DU1" s="275"/>
      <c r="DV1" s="275"/>
      <c r="DW1" s="275"/>
      <c r="DX1" s="275"/>
      <c r="DY1" s="276"/>
    </row>
    <row r="2" spans="1:129" s="3" customFormat="1" ht="30.75" customHeight="1" x14ac:dyDescent="0.25">
      <c r="A2" s="249"/>
      <c r="B2" s="295"/>
      <c r="C2" s="296"/>
      <c r="D2" s="296"/>
      <c r="E2" s="296"/>
      <c r="F2" s="296"/>
      <c r="G2" s="297"/>
      <c r="H2" s="277" t="s">
        <v>143</v>
      </c>
      <c r="I2" s="278"/>
      <c r="J2" s="278"/>
      <c r="K2" s="278"/>
      <c r="L2" s="278"/>
      <c r="M2" s="279"/>
      <c r="N2" s="280" t="s">
        <v>144</v>
      </c>
      <c r="O2" s="280"/>
      <c r="P2" s="280"/>
      <c r="Q2" s="280"/>
      <c r="R2" s="280"/>
      <c r="S2" s="281"/>
      <c r="T2" s="282" t="s">
        <v>145</v>
      </c>
      <c r="U2" s="280"/>
      <c r="V2" s="280"/>
      <c r="W2" s="280"/>
      <c r="X2" s="280"/>
      <c r="Y2" s="281"/>
      <c r="Z2" s="282" t="s">
        <v>146</v>
      </c>
      <c r="AA2" s="280"/>
      <c r="AB2" s="280"/>
      <c r="AC2" s="280"/>
      <c r="AD2" s="280"/>
      <c r="AE2" s="283"/>
      <c r="AF2" s="284" t="s">
        <v>147</v>
      </c>
      <c r="AG2" s="284"/>
      <c r="AH2" s="284"/>
      <c r="AI2" s="284"/>
      <c r="AJ2" s="284"/>
      <c r="AK2" s="285"/>
      <c r="AL2" s="272" t="s">
        <v>148</v>
      </c>
      <c r="AM2" s="272"/>
      <c r="AN2" s="272"/>
      <c r="AO2" s="272"/>
      <c r="AP2" s="272"/>
      <c r="AQ2" s="286"/>
      <c r="AR2" s="287" t="s">
        <v>149</v>
      </c>
      <c r="AS2" s="272"/>
      <c r="AT2" s="272"/>
      <c r="AU2" s="272"/>
      <c r="AV2" s="272"/>
      <c r="AW2" s="286"/>
      <c r="AX2" s="287" t="s">
        <v>150</v>
      </c>
      <c r="AY2" s="272"/>
      <c r="AZ2" s="272"/>
      <c r="BA2" s="272"/>
      <c r="BB2" s="272"/>
      <c r="BC2" s="273"/>
      <c r="BD2" s="288" t="s">
        <v>151</v>
      </c>
      <c r="BE2" s="288"/>
      <c r="BF2" s="288"/>
      <c r="BG2" s="288"/>
      <c r="BH2" s="288"/>
      <c r="BI2" s="289"/>
      <c r="BJ2" s="305" t="s">
        <v>152</v>
      </c>
      <c r="BK2" s="305"/>
      <c r="BL2" s="305"/>
      <c r="BM2" s="305"/>
      <c r="BN2" s="305"/>
      <c r="BO2" s="306"/>
      <c r="BP2" s="307" t="s">
        <v>153</v>
      </c>
      <c r="BQ2" s="308"/>
      <c r="BR2" s="308"/>
      <c r="BS2" s="308"/>
      <c r="BT2" s="308"/>
      <c r="BU2" s="243"/>
      <c r="BV2" s="307" t="s">
        <v>154</v>
      </c>
      <c r="BW2" s="308"/>
      <c r="BX2" s="308"/>
      <c r="BY2" s="308"/>
      <c r="BZ2" s="308"/>
      <c r="CA2" s="243"/>
      <c r="CB2" s="307" t="s">
        <v>155</v>
      </c>
      <c r="CC2" s="308"/>
      <c r="CD2" s="308"/>
      <c r="CE2" s="308"/>
      <c r="CF2" s="308"/>
      <c r="CG2" s="243"/>
      <c r="CH2" s="309" t="s">
        <v>156</v>
      </c>
      <c r="CI2" s="310"/>
      <c r="CJ2" s="310"/>
      <c r="CK2" s="310"/>
      <c r="CL2" s="310"/>
      <c r="CM2" s="311"/>
      <c r="CN2" s="312" t="s">
        <v>157</v>
      </c>
      <c r="CO2" s="313"/>
      <c r="CP2" s="313"/>
      <c r="CQ2" s="313"/>
      <c r="CR2" s="313"/>
      <c r="CS2" s="314"/>
      <c r="CT2" s="303"/>
      <c r="CU2" s="303"/>
      <c r="CV2" s="303"/>
      <c r="CW2" s="303"/>
      <c r="CX2" s="303"/>
      <c r="CY2" s="304"/>
      <c r="DB2" s="269" t="s">
        <v>158</v>
      </c>
      <c r="DC2" s="270"/>
      <c r="DD2" s="270"/>
      <c r="DE2" s="270"/>
      <c r="DF2" s="270"/>
      <c r="DG2" s="271"/>
      <c r="DH2" s="272" t="s">
        <v>159</v>
      </c>
      <c r="DI2" s="272"/>
      <c r="DJ2" s="272"/>
      <c r="DK2" s="272"/>
      <c r="DL2" s="272"/>
      <c r="DM2" s="273"/>
      <c r="DN2" s="272" t="s">
        <v>160</v>
      </c>
      <c r="DO2" s="272"/>
      <c r="DP2" s="272"/>
      <c r="DQ2" s="272"/>
      <c r="DR2" s="272"/>
      <c r="DS2" s="273"/>
      <c r="DT2" s="272" t="s">
        <v>161</v>
      </c>
      <c r="DU2" s="272"/>
      <c r="DV2" s="272"/>
      <c r="DW2" s="272"/>
      <c r="DX2" s="272"/>
      <c r="DY2" s="273"/>
    </row>
    <row r="3" spans="1:129" s="3" customFormat="1" ht="15" customHeight="1" x14ac:dyDescent="0.25">
      <c r="A3" s="249"/>
      <c r="B3" s="251" t="s">
        <v>162</v>
      </c>
      <c r="C3" s="261">
        <v>2026</v>
      </c>
      <c r="D3" s="261"/>
      <c r="E3" s="261"/>
      <c r="F3" s="251" t="s">
        <v>163</v>
      </c>
      <c r="G3" s="254" t="s">
        <v>164</v>
      </c>
      <c r="H3" s="249" t="s">
        <v>162</v>
      </c>
      <c r="I3" s="315">
        <f>C3</f>
        <v>2026</v>
      </c>
      <c r="J3" s="315"/>
      <c r="K3" s="315"/>
      <c r="L3" s="251" t="s">
        <v>163</v>
      </c>
      <c r="M3" s="254" t="s">
        <v>164</v>
      </c>
      <c r="N3" s="243" t="s">
        <v>162</v>
      </c>
      <c r="O3" s="251">
        <f>C3</f>
        <v>2026</v>
      </c>
      <c r="P3" s="251"/>
      <c r="Q3" s="251"/>
      <c r="R3" s="245" t="s">
        <v>163</v>
      </c>
      <c r="S3" s="259" t="s">
        <v>164</v>
      </c>
      <c r="T3" s="251" t="s">
        <v>162</v>
      </c>
      <c r="U3" s="251">
        <f>C3</f>
        <v>2026</v>
      </c>
      <c r="V3" s="251"/>
      <c r="W3" s="251"/>
      <c r="X3" s="245" t="s">
        <v>163</v>
      </c>
      <c r="Y3" s="259" t="s">
        <v>164</v>
      </c>
      <c r="Z3" s="251" t="s">
        <v>162</v>
      </c>
      <c r="AA3" s="251">
        <f>C3</f>
        <v>2026</v>
      </c>
      <c r="AB3" s="251"/>
      <c r="AC3" s="251"/>
      <c r="AD3" s="245" t="s">
        <v>163</v>
      </c>
      <c r="AE3" s="247" t="s">
        <v>164</v>
      </c>
      <c r="AF3" s="243" t="s">
        <v>162</v>
      </c>
      <c r="AG3" s="251">
        <f>C3</f>
        <v>2026</v>
      </c>
      <c r="AH3" s="251"/>
      <c r="AI3" s="251"/>
      <c r="AJ3" s="251" t="s">
        <v>163</v>
      </c>
      <c r="AK3" s="254" t="s">
        <v>164</v>
      </c>
      <c r="AL3" s="243" t="s">
        <v>162</v>
      </c>
      <c r="AM3" s="251">
        <f>C3</f>
        <v>2026</v>
      </c>
      <c r="AN3" s="251"/>
      <c r="AO3" s="251"/>
      <c r="AP3" s="245" t="s">
        <v>163</v>
      </c>
      <c r="AQ3" s="259" t="s">
        <v>164</v>
      </c>
      <c r="AR3" s="251" t="s">
        <v>162</v>
      </c>
      <c r="AS3" s="251">
        <f>C3</f>
        <v>2026</v>
      </c>
      <c r="AT3" s="251"/>
      <c r="AU3" s="251"/>
      <c r="AV3" s="245" t="s">
        <v>163</v>
      </c>
      <c r="AW3" s="259" t="s">
        <v>164</v>
      </c>
      <c r="AX3" s="251" t="s">
        <v>162</v>
      </c>
      <c r="AY3" s="251">
        <f>C3</f>
        <v>2026</v>
      </c>
      <c r="AZ3" s="251"/>
      <c r="BA3" s="251"/>
      <c r="BB3" s="245" t="s">
        <v>163</v>
      </c>
      <c r="BC3" s="247" t="s">
        <v>164</v>
      </c>
      <c r="BD3" s="243" t="s">
        <v>162</v>
      </c>
      <c r="BE3" s="251">
        <f>C3</f>
        <v>2026</v>
      </c>
      <c r="BF3" s="251"/>
      <c r="BG3" s="251"/>
      <c r="BH3" s="245" t="s">
        <v>163</v>
      </c>
      <c r="BI3" s="247" t="s">
        <v>164</v>
      </c>
      <c r="BJ3" s="240" t="s">
        <v>162</v>
      </c>
      <c r="BK3" s="236">
        <f>C3</f>
        <v>2026</v>
      </c>
      <c r="BL3" s="236"/>
      <c r="BM3" s="236"/>
      <c r="BN3" s="236" t="s">
        <v>163</v>
      </c>
      <c r="BO3" s="237" t="s">
        <v>164</v>
      </c>
      <c r="BP3" s="251" t="s">
        <v>162</v>
      </c>
      <c r="BQ3" s="251">
        <f>C3</f>
        <v>2026</v>
      </c>
      <c r="BR3" s="251"/>
      <c r="BS3" s="251"/>
      <c r="BT3" s="245" t="s">
        <v>163</v>
      </c>
      <c r="BU3" s="259" t="s">
        <v>164</v>
      </c>
      <c r="BV3" s="251" t="s">
        <v>162</v>
      </c>
      <c r="BW3" s="251">
        <f>C3</f>
        <v>2026</v>
      </c>
      <c r="BX3" s="251"/>
      <c r="BY3" s="251"/>
      <c r="BZ3" s="245" t="s">
        <v>163</v>
      </c>
      <c r="CA3" s="259" t="s">
        <v>164</v>
      </c>
      <c r="CB3" s="251" t="s">
        <v>162</v>
      </c>
      <c r="CC3" s="251">
        <f>C3</f>
        <v>2026</v>
      </c>
      <c r="CD3" s="251"/>
      <c r="CE3" s="251"/>
      <c r="CF3" s="245" t="s">
        <v>163</v>
      </c>
      <c r="CG3" s="259" t="s">
        <v>164</v>
      </c>
      <c r="CH3" s="261" t="s">
        <v>162</v>
      </c>
      <c r="CI3" s="251">
        <f>C3</f>
        <v>2026</v>
      </c>
      <c r="CJ3" s="251"/>
      <c r="CK3" s="251"/>
      <c r="CL3" s="245" t="s">
        <v>163</v>
      </c>
      <c r="CM3" s="259" t="s">
        <v>164</v>
      </c>
      <c r="CN3" s="255" t="s">
        <v>162</v>
      </c>
      <c r="CO3" s="251">
        <f>C3</f>
        <v>2026</v>
      </c>
      <c r="CP3" s="251"/>
      <c r="CQ3" s="251"/>
      <c r="CR3" s="245" t="s">
        <v>163</v>
      </c>
      <c r="CS3" s="247" t="s">
        <v>164</v>
      </c>
      <c r="CT3" s="257" t="s">
        <v>162</v>
      </c>
      <c r="CU3" s="251">
        <f>C3</f>
        <v>2026</v>
      </c>
      <c r="CV3" s="251"/>
      <c r="CW3" s="251"/>
      <c r="CX3" s="245" t="s">
        <v>163</v>
      </c>
      <c r="CY3" s="247" t="s">
        <v>164</v>
      </c>
      <c r="DB3" s="249" t="s">
        <v>162</v>
      </c>
      <c r="DC3" s="251">
        <f>C3</f>
        <v>2026</v>
      </c>
      <c r="DD3" s="251"/>
      <c r="DE3" s="251"/>
      <c r="DF3" s="251" t="s">
        <v>163</v>
      </c>
      <c r="DG3" s="253" t="s">
        <v>164</v>
      </c>
      <c r="DH3" s="243" t="s">
        <v>162</v>
      </c>
      <c r="DI3" s="236">
        <f>C3</f>
        <v>2026</v>
      </c>
      <c r="DJ3" s="236"/>
      <c r="DK3" s="236"/>
      <c r="DL3" s="236" t="s">
        <v>163</v>
      </c>
      <c r="DM3" s="238" t="s">
        <v>164</v>
      </c>
      <c r="DN3" s="240" t="s">
        <v>162</v>
      </c>
      <c r="DO3" s="236">
        <f>C3</f>
        <v>2026</v>
      </c>
      <c r="DP3" s="236"/>
      <c r="DQ3" s="236"/>
      <c r="DR3" s="236" t="s">
        <v>163</v>
      </c>
      <c r="DS3" s="238" t="s">
        <v>164</v>
      </c>
      <c r="DT3" s="240" t="s">
        <v>162</v>
      </c>
      <c r="DU3" s="236">
        <f>C3</f>
        <v>2026</v>
      </c>
      <c r="DV3" s="236"/>
      <c r="DW3" s="236"/>
      <c r="DX3" s="236" t="s">
        <v>163</v>
      </c>
      <c r="DY3" s="242" t="s">
        <v>164</v>
      </c>
    </row>
    <row r="4" spans="1:129" s="3" customFormat="1" ht="22.5" customHeight="1" thickBot="1" x14ac:dyDescent="0.3">
      <c r="A4" s="291"/>
      <c r="B4" s="263"/>
      <c r="C4" s="102" t="s">
        <v>165</v>
      </c>
      <c r="D4" s="102" t="s">
        <v>166</v>
      </c>
      <c r="E4" s="102" t="s">
        <v>167</v>
      </c>
      <c r="F4" s="263"/>
      <c r="G4" s="268"/>
      <c r="H4" s="291"/>
      <c r="I4" s="4" t="s">
        <v>165</v>
      </c>
      <c r="J4" s="4" t="s">
        <v>166</v>
      </c>
      <c r="K4" s="4" t="s">
        <v>167</v>
      </c>
      <c r="L4" s="263"/>
      <c r="M4" s="268"/>
      <c r="N4" s="266"/>
      <c r="O4" s="100" t="s">
        <v>165</v>
      </c>
      <c r="P4" s="100" t="s">
        <v>166</v>
      </c>
      <c r="Q4" s="103" t="s">
        <v>167</v>
      </c>
      <c r="R4" s="246"/>
      <c r="S4" s="260"/>
      <c r="T4" s="263"/>
      <c r="U4" s="100" t="s">
        <v>165</v>
      </c>
      <c r="V4" s="100" t="s">
        <v>166</v>
      </c>
      <c r="W4" s="103" t="s">
        <v>167</v>
      </c>
      <c r="X4" s="246"/>
      <c r="Y4" s="260"/>
      <c r="Z4" s="263"/>
      <c r="AA4" s="100" t="s">
        <v>165</v>
      </c>
      <c r="AB4" s="100" t="s">
        <v>166</v>
      </c>
      <c r="AC4" s="103" t="s">
        <v>167</v>
      </c>
      <c r="AD4" s="246"/>
      <c r="AE4" s="248"/>
      <c r="AF4" s="266"/>
      <c r="AG4" s="103" t="s">
        <v>165</v>
      </c>
      <c r="AH4" s="103" t="s">
        <v>166</v>
      </c>
      <c r="AI4" s="103" t="s">
        <v>167</v>
      </c>
      <c r="AJ4" s="263"/>
      <c r="AK4" s="268"/>
      <c r="AL4" s="266"/>
      <c r="AM4" s="100" t="s">
        <v>165</v>
      </c>
      <c r="AN4" s="100" t="s">
        <v>166</v>
      </c>
      <c r="AO4" s="103" t="s">
        <v>167</v>
      </c>
      <c r="AP4" s="246"/>
      <c r="AQ4" s="260"/>
      <c r="AR4" s="263"/>
      <c r="AS4" s="100" t="s">
        <v>165</v>
      </c>
      <c r="AT4" s="100" t="s">
        <v>166</v>
      </c>
      <c r="AU4" s="103" t="s">
        <v>167</v>
      </c>
      <c r="AV4" s="246"/>
      <c r="AW4" s="260"/>
      <c r="AX4" s="263"/>
      <c r="AY4" s="100" t="s">
        <v>165</v>
      </c>
      <c r="AZ4" s="100" t="s">
        <v>166</v>
      </c>
      <c r="BA4" s="103" t="s">
        <v>167</v>
      </c>
      <c r="BB4" s="246"/>
      <c r="BC4" s="248"/>
      <c r="BD4" s="266"/>
      <c r="BE4" s="100" t="s">
        <v>165</v>
      </c>
      <c r="BF4" s="100" t="s">
        <v>166</v>
      </c>
      <c r="BG4" s="103" t="s">
        <v>167</v>
      </c>
      <c r="BH4" s="246"/>
      <c r="BI4" s="248"/>
      <c r="BJ4" s="267"/>
      <c r="BK4" s="5" t="s">
        <v>165</v>
      </c>
      <c r="BL4" s="5" t="s">
        <v>166</v>
      </c>
      <c r="BM4" s="5" t="s">
        <v>167</v>
      </c>
      <c r="BN4" s="264"/>
      <c r="BO4" s="265"/>
      <c r="BP4" s="263"/>
      <c r="BQ4" s="100" t="s">
        <v>165</v>
      </c>
      <c r="BR4" s="100" t="s">
        <v>166</v>
      </c>
      <c r="BS4" s="103" t="s">
        <v>167</v>
      </c>
      <c r="BT4" s="246"/>
      <c r="BU4" s="260"/>
      <c r="BV4" s="263"/>
      <c r="BW4" s="100" t="s">
        <v>165</v>
      </c>
      <c r="BX4" s="100" t="s">
        <v>166</v>
      </c>
      <c r="BY4" s="103" t="s">
        <v>167</v>
      </c>
      <c r="BZ4" s="246"/>
      <c r="CA4" s="260"/>
      <c r="CB4" s="263"/>
      <c r="CC4" s="100" t="s">
        <v>165</v>
      </c>
      <c r="CD4" s="100" t="s">
        <v>166</v>
      </c>
      <c r="CE4" s="103" t="s">
        <v>167</v>
      </c>
      <c r="CF4" s="246"/>
      <c r="CG4" s="260"/>
      <c r="CH4" s="262"/>
      <c r="CI4" s="100" t="s">
        <v>165</v>
      </c>
      <c r="CJ4" s="100" t="s">
        <v>166</v>
      </c>
      <c r="CK4" s="103" t="s">
        <v>167</v>
      </c>
      <c r="CL4" s="246"/>
      <c r="CM4" s="260"/>
      <c r="CN4" s="256"/>
      <c r="CO4" s="100" t="s">
        <v>165</v>
      </c>
      <c r="CP4" s="100" t="s">
        <v>166</v>
      </c>
      <c r="CQ4" s="103" t="s">
        <v>167</v>
      </c>
      <c r="CR4" s="246"/>
      <c r="CS4" s="248"/>
      <c r="CT4" s="258"/>
      <c r="CU4" s="100" t="s">
        <v>165</v>
      </c>
      <c r="CV4" s="100" t="s">
        <v>166</v>
      </c>
      <c r="CW4" s="103" t="s">
        <v>167</v>
      </c>
      <c r="CX4" s="246"/>
      <c r="CY4" s="248"/>
      <c r="DB4" s="250"/>
      <c r="DC4" s="101" t="s">
        <v>165</v>
      </c>
      <c r="DD4" s="101" t="s">
        <v>166</v>
      </c>
      <c r="DE4" s="101" t="s">
        <v>167</v>
      </c>
      <c r="DF4" s="252"/>
      <c r="DG4" s="254"/>
      <c r="DH4" s="244"/>
      <c r="DI4" s="99" t="s">
        <v>165</v>
      </c>
      <c r="DJ4" s="99" t="s">
        <v>166</v>
      </c>
      <c r="DK4" s="99" t="s">
        <v>167</v>
      </c>
      <c r="DL4" s="237"/>
      <c r="DM4" s="239"/>
      <c r="DN4" s="241"/>
      <c r="DO4" s="99" t="s">
        <v>165</v>
      </c>
      <c r="DP4" s="99" t="s">
        <v>166</v>
      </c>
      <c r="DQ4" s="99" t="s">
        <v>167</v>
      </c>
      <c r="DR4" s="237"/>
      <c r="DS4" s="239"/>
      <c r="DT4" s="241"/>
      <c r="DU4" s="99" t="s">
        <v>165</v>
      </c>
      <c r="DV4" s="99" t="s">
        <v>166</v>
      </c>
      <c r="DW4" s="99" t="s">
        <v>167</v>
      </c>
      <c r="DX4" s="237"/>
      <c r="DY4" s="238"/>
    </row>
    <row r="5" spans="1:129" s="27" customFormat="1" ht="23.25" customHeight="1" x14ac:dyDescent="0.25">
      <c r="A5" s="6" t="s">
        <v>196</v>
      </c>
      <c r="B5" s="7">
        <f>C5+F5</f>
        <v>55</v>
      </c>
      <c r="C5" s="8">
        <f>SUM(C6:C9)</f>
        <v>14</v>
      </c>
      <c r="D5" s="8">
        <f>SUM(D6:D9)</f>
        <v>0</v>
      </c>
      <c r="E5" s="9">
        <f t="shared" ref="E5:E14" si="0">IFERROR(D5/C5*100,0)</f>
        <v>0</v>
      </c>
      <c r="F5" s="7">
        <f>SUM(F6:F9)</f>
        <v>41</v>
      </c>
      <c r="G5" s="10">
        <f>SUM(G6:G9)</f>
        <v>277</v>
      </c>
      <c r="H5" s="11">
        <f>I5+L5</f>
        <v>7</v>
      </c>
      <c r="I5" s="12">
        <f>SUM(I6:I9)</f>
        <v>3</v>
      </c>
      <c r="J5" s="12">
        <f>SUM(J6:J9)</f>
        <v>0</v>
      </c>
      <c r="K5" s="13">
        <f t="shared" ref="K5:K14" si="1">IFERROR(J5/I5*100,0)</f>
        <v>0</v>
      </c>
      <c r="L5" s="7">
        <f>SUM(L6:L9)</f>
        <v>4</v>
      </c>
      <c r="M5" s="10">
        <f>SUM(M6:M9)</f>
        <v>69.3</v>
      </c>
      <c r="N5" s="14">
        <f>O5+R5</f>
        <v>0</v>
      </c>
      <c r="O5" s="15">
        <f>SUM(O6:O9)</f>
        <v>0</v>
      </c>
      <c r="P5" s="15">
        <f>SUM(P6:P9)</f>
        <v>0</v>
      </c>
      <c r="Q5" s="16">
        <f t="shared" ref="Q5:Q14" si="2">IFERROR(P5/O5*100,0)</f>
        <v>0</v>
      </c>
      <c r="R5" s="15">
        <f>SUM(R6:R9)</f>
        <v>0</v>
      </c>
      <c r="S5" s="15">
        <f>SUM(S6:S9)</f>
        <v>0</v>
      </c>
      <c r="T5" s="15">
        <f>U5+X5</f>
        <v>0</v>
      </c>
      <c r="U5" s="15">
        <f>SUM(U6:U9)</f>
        <v>0</v>
      </c>
      <c r="V5" s="15">
        <f>SUM(V6:V9)</f>
        <v>0</v>
      </c>
      <c r="W5" s="16">
        <f t="shared" ref="W5:W14" si="3">IFERROR(V5/U5*100,0)</f>
        <v>0</v>
      </c>
      <c r="X5" s="15">
        <f>SUM(X6:X9)</f>
        <v>0</v>
      </c>
      <c r="Y5" s="15">
        <f>SUM(Y6:Y9)</f>
        <v>0</v>
      </c>
      <c r="Z5" s="15">
        <f>AA5+AD5</f>
        <v>7</v>
      </c>
      <c r="AA5" s="15">
        <f>SUM(AA6:AA9)</f>
        <v>3</v>
      </c>
      <c r="AB5" s="15">
        <f>SUM(AB6:AB9)</f>
        <v>0</v>
      </c>
      <c r="AC5" s="16">
        <f t="shared" ref="AC5:AC14" si="4">IFERROR(AB5/AA5*100,0)</f>
        <v>0</v>
      </c>
      <c r="AD5" s="15">
        <f>SUM(AD6:AD9)</f>
        <v>4</v>
      </c>
      <c r="AE5" s="17">
        <f>SUM(AE6:AE9)</f>
        <v>69.3</v>
      </c>
      <c r="AF5" s="18">
        <f>AG5+AJ5</f>
        <v>42</v>
      </c>
      <c r="AG5" s="19">
        <f>SUM(AG6:AG9)</f>
        <v>7</v>
      </c>
      <c r="AH5" s="19">
        <f>SUM(AH6:AH9)</f>
        <v>0</v>
      </c>
      <c r="AI5" s="20">
        <f t="shared" ref="AI5:AI14" si="5">IFERROR(AH5/AG5*100,0)</f>
        <v>0</v>
      </c>
      <c r="AJ5" s="15">
        <f>SUM(AJ6:AJ9)</f>
        <v>35</v>
      </c>
      <c r="AK5" s="17">
        <f>SUM(AK6:AK9)</f>
        <v>189.4</v>
      </c>
      <c r="AL5" s="18">
        <f>AM5+AP5</f>
        <v>0</v>
      </c>
      <c r="AM5" s="15">
        <f>SUM(AM6:AM9)</f>
        <v>0</v>
      </c>
      <c r="AN5" s="15">
        <f>SUM(AN6:AN9)</f>
        <v>0</v>
      </c>
      <c r="AO5" s="16">
        <f t="shared" ref="AO5:AO14" si="6">IFERROR(AN5/AM5*100,0)</f>
        <v>0</v>
      </c>
      <c r="AP5" s="15">
        <f>SUM(AP6:AP9)</f>
        <v>0</v>
      </c>
      <c r="AQ5" s="15">
        <f>SUM(AQ6:AQ9)</f>
        <v>0</v>
      </c>
      <c r="AR5" s="15">
        <f>AS5+AV5</f>
        <v>11</v>
      </c>
      <c r="AS5" s="15">
        <f>SUM(AS6:AS9)</f>
        <v>0</v>
      </c>
      <c r="AT5" s="15">
        <f>SUM(AT6:AT9)</f>
        <v>0</v>
      </c>
      <c r="AU5" s="16">
        <f t="shared" ref="AU5:AU14" si="7">IFERROR(AT5/AS5*100,0)</f>
        <v>0</v>
      </c>
      <c r="AV5" s="15">
        <f>SUM(AV6:AV9)</f>
        <v>11</v>
      </c>
      <c r="AW5" s="15">
        <f>SUM(AW6:AW9)</f>
        <v>41</v>
      </c>
      <c r="AX5" s="15">
        <f>AY5+BB5</f>
        <v>31</v>
      </c>
      <c r="AY5" s="15">
        <f>SUM(AY6:AY9)</f>
        <v>7</v>
      </c>
      <c r="AZ5" s="15">
        <f>SUM(AZ6:AZ9)</f>
        <v>0</v>
      </c>
      <c r="BA5" s="16">
        <f t="shared" ref="BA5:BA14" si="8">IFERROR(AZ5/AY5*100,0)</f>
        <v>0</v>
      </c>
      <c r="BB5" s="15">
        <f>SUM(BB6:BB9)</f>
        <v>24</v>
      </c>
      <c r="BC5" s="17">
        <f>SUM(BC6:BC9)</f>
        <v>148.4</v>
      </c>
      <c r="BD5" s="18">
        <f>BE5+BH5</f>
        <v>6</v>
      </c>
      <c r="BE5" s="21">
        <f>SUM(BE6:BE9)</f>
        <v>4</v>
      </c>
      <c r="BF5" s="21">
        <f>SUM(BF6:BF9)</f>
        <v>0</v>
      </c>
      <c r="BG5" s="16">
        <f t="shared" ref="BG5:BG15" si="9">IFERROR(BF5/BE5*100,0)</f>
        <v>0</v>
      </c>
      <c r="BH5" s="15">
        <f>SUM(BH6:BH9)</f>
        <v>2</v>
      </c>
      <c r="BI5" s="17">
        <f>SUM(BI6:BI9)</f>
        <v>18.3</v>
      </c>
      <c r="BJ5" s="18">
        <f>BK5+BN5</f>
        <v>0</v>
      </c>
      <c r="BK5" s="22">
        <f>SUM(BK6:BK9)</f>
        <v>0</v>
      </c>
      <c r="BL5" s="22">
        <f>SUM(BL6:BL9)</f>
        <v>0</v>
      </c>
      <c r="BM5" s="23">
        <f t="shared" ref="BM5:BM14" si="10">IFERROR(BL5/BK5*100,0)</f>
        <v>0</v>
      </c>
      <c r="BN5" s="15">
        <f>SUM(BN6:BN9)</f>
        <v>0</v>
      </c>
      <c r="BO5" s="15">
        <f>SUM(BO6:BO9)</f>
        <v>0</v>
      </c>
      <c r="BP5" s="15">
        <f>BQ5+BT5</f>
        <v>0</v>
      </c>
      <c r="BQ5" s="15">
        <f>SUM(BQ6:BQ9)</f>
        <v>0</v>
      </c>
      <c r="BR5" s="15">
        <f>SUM(BR6:BR9)</f>
        <v>0</v>
      </c>
      <c r="BS5" s="16">
        <f t="shared" ref="BS5:BS14" si="11">IFERROR(BR5/BQ5*100,0)</f>
        <v>0</v>
      </c>
      <c r="BT5" s="15">
        <f>SUM(BT6:BT9)</f>
        <v>0</v>
      </c>
      <c r="BU5" s="15">
        <f>SUM(BU6:BU9)</f>
        <v>0</v>
      </c>
      <c r="BV5" s="15">
        <f>BW5+BZ5</f>
        <v>0</v>
      </c>
      <c r="BW5" s="15">
        <f>SUM(BW6:BW9)</f>
        <v>0</v>
      </c>
      <c r="BX5" s="15">
        <f>SUM(BX6:BX9)</f>
        <v>0</v>
      </c>
      <c r="BY5" s="16">
        <f t="shared" ref="BY5:BY14" si="12">IFERROR(BX5/BW5*100,0)</f>
        <v>0</v>
      </c>
      <c r="BZ5" s="15">
        <f>SUM(BZ6:BZ9)</f>
        <v>0</v>
      </c>
      <c r="CA5" s="15">
        <f>SUM(CA6:CA9)</f>
        <v>0</v>
      </c>
      <c r="CB5" s="15">
        <f>CC5+CF5</f>
        <v>0</v>
      </c>
      <c r="CC5" s="15">
        <f>SUM(CC6:CC9)</f>
        <v>0</v>
      </c>
      <c r="CD5" s="15">
        <f>SUM(CD6:CD9)</f>
        <v>0</v>
      </c>
      <c r="CE5" s="16">
        <f t="shared" ref="CE5:CE14" si="13">IFERROR(CD5/CC5*100,0)</f>
        <v>0</v>
      </c>
      <c r="CF5" s="15">
        <f>SUM(CF6:CF9)</f>
        <v>0</v>
      </c>
      <c r="CG5" s="15">
        <f>SUM(CG6:CG9)</f>
        <v>0</v>
      </c>
      <c r="CH5" s="24">
        <f>CI5+CL5</f>
        <v>6</v>
      </c>
      <c r="CI5" s="15">
        <f>SUM(CI6:CI9)</f>
        <v>4</v>
      </c>
      <c r="CJ5" s="15">
        <f>SUM(CJ6:CJ9)</f>
        <v>0</v>
      </c>
      <c r="CK5" s="16">
        <f t="shared" ref="CK5:CK14" si="14">IFERROR(CJ5/CI5*100,0)</f>
        <v>0</v>
      </c>
      <c r="CL5" s="15">
        <f>SUM(CL6:CL9)</f>
        <v>2</v>
      </c>
      <c r="CM5" s="15">
        <f>SUM(CM6:CM9)</f>
        <v>18.3</v>
      </c>
      <c r="CN5" s="25">
        <f>CO5+CR5</f>
        <v>0</v>
      </c>
      <c r="CO5" s="15">
        <f>SUM(CO6:CO9)</f>
        <v>0</v>
      </c>
      <c r="CP5" s="15">
        <f>SUM(CP6:CP9)</f>
        <v>0</v>
      </c>
      <c r="CQ5" s="16">
        <f t="shared" ref="CQ5:CQ14" si="15">IFERROR(CP5/CO5*100,0)</f>
        <v>0</v>
      </c>
      <c r="CR5" s="15">
        <f>SUM(CR6:CR9)</f>
        <v>0</v>
      </c>
      <c r="CS5" s="17">
        <f>SUM(CS6:CS9)</f>
        <v>0</v>
      </c>
      <c r="CT5" s="26">
        <f>CU5+CX5</f>
        <v>0</v>
      </c>
      <c r="CU5" s="15">
        <f>SUM(CU6:CU9)</f>
        <v>0</v>
      </c>
      <c r="CV5" s="15">
        <f>SUM(CV6:CV9)</f>
        <v>0</v>
      </c>
      <c r="CW5" s="16">
        <f t="shared" ref="CW5:CW14" si="16">IFERROR(CV5/CU5*100,0)</f>
        <v>0</v>
      </c>
      <c r="CX5" s="15">
        <f>SUM(CX6:CX9)</f>
        <v>0</v>
      </c>
      <c r="CY5" s="17">
        <f>SUM(CY6:CY9)</f>
        <v>0</v>
      </c>
      <c r="DB5" s="14">
        <f t="shared" ref="DB5:DB34" si="17">DC5+DF5</f>
        <v>42</v>
      </c>
      <c r="DC5" s="19">
        <f>SUM(DC6:DC9)</f>
        <v>7</v>
      </c>
      <c r="DD5" s="19">
        <f>SUM(DD6:DD9)</f>
        <v>0</v>
      </c>
      <c r="DE5" s="20">
        <f>IFERROR(DD5/DC5*100,0)</f>
        <v>0</v>
      </c>
      <c r="DF5" s="15">
        <f>SUM(DF6:DF9)</f>
        <v>35</v>
      </c>
      <c r="DG5" s="17">
        <f>SUM(DG6:DG9)</f>
        <v>189.4</v>
      </c>
      <c r="DH5" s="18">
        <f>DI5+DL5</f>
        <v>0</v>
      </c>
      <c r="DI5" s="15">
        <f>SUM(DI6:DI9)</f>
        <v>0</v>
      </c>
      <c r="DJ5" s="15">
        <f>SUM(DJ6:DJ9)</f>
        <v>0</v>
      </c>
      <c r="DK5" s="16">
        <f t="shared" ref="DK5:DK14" si="18">IFERROR(DJ5/DI5*100,0)</f>
        <v>0</v>
      </c>
      <c r="DL5" s="15">
        <f>SUM(DL6:DL9)</f>
        <v>0</v>
      </c>
      <c r="DM5" s="17">
        <f>SUM(DM6:DM9)</f>
        <v>0</v>
      </c>
      <c r="DN5" s="18">
        <f>DO5+DR5</f>
        <v>11</v>
      </c>
      <c r="DO5" s="15">
        <f>SUM(DO6:DO9)</f>
        <v>0</v>
      </c>
      <c r="DP5" s="15">
        <f>SUM(DP6:DP9)</f>
        <v>0</v>
      </c>
      <c r="DQ5" s="16">
        <f t="shared" ref="DQ5:DQ14" si="19">IFERROR(DP5/DO5*100,0)</f>
        <v>0</v>
      </c>
      <c r="DR5" s="15">
        <f>SUM(DR6:DR9)</f>
        <v>11</v>
      </c>
      <c r="DS5" s="17">
        <f>SUM(DS6:DS9)</f>
        <v>41</v>
      </c>
      <c r="DT5" s="18">
        <f>DU5+DX5</f>
        <v>31</v>
      </c>
      <c r="DU5" s="15">
        <f>SUM(DU6:DU9)</f>
        <v>7</v>
      </c>
      <c r="DV5" s="15">
        <f>SUM(DV6:DV9)</f>
        <v>0</v>
      </c>
      <c r="DW5" s="16">
        <f t="shared" ref="DW5:DW14" si="20">IFERROR(DV5/DU5*100,0)</f>
        <v>0</v>
      </c>
      <c r="DX5" s="15">
        <f>SUM(DX6:DX9)</f>
        <v>24</v>
      </c>
      <c r="DY5" s="17">
        <f>SUM(DY6:DY9)</f>
        <v>148.4</v>
      </c>
    </row>
    <row r="6" spans="1:129" s="45" customFormat="1" ht="15.75" customHeight="1" x14ac:dyDescent="0.25">
      <c r="A6" s="28" t="s">
        <v>168</v>
      </c>
      <c r="B6" s="29">
        <f t="shared" ref="B6:B34" si="21">C6+F6</f>
        <v>6</v>
      </c>
      <c r="C6" s="30">
        <f t="shared" ref="C6:D14" si="22">I6+AG6+BE6+CU6</f>
        <v>2</v>
      </c>
      <c r="D6" s="30">
        <f t="shared" si="22"/>
        <v>0</v>
      </c>
      <c r="E6" s="31">
        <f t="shared" si="0"/>
        <v>0</v>
      </c>
      <c r="F6" s="29">
        <f t="shared" ref="F6:G34" si="23">L6+AJ6+BH6+CX6</f>
        <v>4</v>
      </c>
      <c r="G6" s="32">
        <f t="shared" si="23"/>
        <v>12.3</v>
      </c>
      <c r="H6" s="33">
        <f t="shared" ref="H6:H34" si="24">I6+L6</f>
        <v>1</v>
      </c>
      <c r="I6" s="34">
        <f t="shared" ref="I6:J14" si="25">O6+U6+AA6</f>
        <v>0</v>
      </c>
      <c r="J6" s="34">
        <f>P6+V6+AB6</f>
        <v>0</v>
      </c>
      <c r="K6" s="35">
        <f t="shared" si="1"/>
        <v>0</v>
      </c>
      <c r="L6" s="29">
        <f>L16+L21+L26+L31</f>
        <v>1</v>
      </c>
      <c r="M6" s="32">
        <f>M11+M16+M21+M26+M31</f>
        <v>1</v>
      </c>
      <c r="N6" s="33">
        <f t="shared" ref="N6:N34" si="26">O6+R6</f>
        <v>0</v>
      </c>
      <c r="O6" s="29">
        <f t="shared" ref="O6:P9" si="27">O11</f>
        <v>0</v>
      </c>
      <c r="P6" s="29">
        <f t="shared" si="27"/>
        <v>0</v>
      </c>
      <c r="Q6" s="36">
        <f t="shared" si="2"/>
        <v>0</v>
      </c>
      <c r="R6" s="29">
        <f>R16+R21+R26+R31</f>
        <v>0</v>
      </c>
      <c r="S6" s="29">
        <f>S11+S16+S21+S26+S31</f>
        <v>0</v>
      </c>
      <c r="T6" s="29">
        <f t="shared" ref="T6:T34" si="28">U6+X6</f>
        <v>0</v>
      </c>
      <c r="U6" s="29">
        <f t="shared" ref="U6:V9" si="29">U11</f>
        <v>0</v>
      </c>
      <c r="V6" s="29">
        <f t="shared" si="29"/>
        <v>0</v>
      </c>
      <c r="W6" s="36">
        <f t="shared" si="3"/>
        <v>0</v>
      </c>
      <c r="X6" s="29">
        <f>X16+X21+X26+X31</f>
        <v>0</v>
      </c>
      <c r="Y6" s="29">
        <f>Y11+Y16+Y21+Y26+Y31</f>
        <v>0</v>
      </c>
      <c r="Z6" s="29">
        <f t="shared" ref="Z6:Z34" si="30">AA6+AD6</f>
        <v>1</v>
      </c>
      <c r="AA6" s="29">
        <f t="shared" ref="AA6:AB9" si="31">AA11</f>
        <v>0</v>
      </c>
      <c r="AB6" s="29">
        <f t="shared" si="31"/>
        <v>0</v>
      </c>
      <c r="AC6" s="36">
        <f t="shared" si="4"/>
        <v>0</v>
      </c>
      <c r="AD6" s="29">
        <f>AD16+AD21+AD26+AD31</f>
        <v>1</v>
      </c>
      <c r="AE6" s="32">
        <f>AE11+AE16+AE21+AE26+AE31</f>
        <v>1</v>
      </c>
      <c r="AF6" s="37">
        <f t="shared" ref="AF6:AF34" si="32">AG6+AJ6</f>
        <v>2</v>
      </c>
      <c r="AG6" s="38">
        <f t="shared" ref="AG6:AH14" si="33">AM6+AS6+AY6</f>
        <v>0</v>
      </c>
      <c r="AH6" s="38">
        <f t="shared" si="33"/>
        <v>0</v>
      </c>
      <c r="AI6" s="39">
        <f t="shared" si="5"/>
        <v>0</v>
      </c>
      <c r="AJ6" s="29">
        <f>AJ16+AJ21+AJ26+AJ31</f>
        <v>2</v>
      </c>
      <c r="AK6" s="32">
        <f>AK11+AK16+AK21+AK26+AK31</f>
        <v>6.5</v>
      </c>
      <c r="AL6" s="37">
        <f t="shared" ref="AL6:AL34" si="34">AM6+AP6</f>
        <v>0</v>
      </c>
      <c r="AM6" s="29">
        <f t="shared" ref="AM6:AN9" si="35">AM11</f>
        <v>0</v>
      </c>
      <c r="AN6" s="29">
        <f t="shared" si="35"/>
        <v>0</v>
      </c>
      <c r="AO6" s="36">
        <f t="shared" si="6"/>
        <v>0</v>
      </c>
      <c r="AP6" s="29">
        <f>AP16+AP21+AP26+AP31</f>
        <v>0</v>
      </c>
      <c r="AQ6" s="29">
        <f>AQ11+AQ16+AQ21+AQ26+AQ31</f>
        <v>0</v>
      </c>
      <c r="AR6" s="29">
        <f t="shared" ref="AR6:AR34" si="36">AS6+AV6</f>
        <v>0</v>
      </c>
      <c r="AS6" s="29">
        <f t="shared" ref="AS6:AT9" si="37">AS11</f>
        <v>0</v>
      </c>
      <c r="AT6" s="29">
        <f t="shared" si="37"/>
        <v>0</v>
      </c>
      <c r="AU6" s="36">
        <f t="shared" si="7"/>
        <v>0</v>
      </c>
      <c r="AV6" s="29">
        <f>AV16+AV21+AV26+AV31</f>
        <v>0</v>
      </c>
      <c r="AW6" s="29">
        <f>AW11+AW16+AW21+AW26+AW31</f>
        <v>0</v>
      </c>
      <c r="AX6" s="29">
        <f t="shared" ref="AX6:AX34" si="38">AY6+BB6</f>
        <v>2</v>
      </c>
      <c r="AY6" s="29">
        <f t="shared" ref="AY6:AZ9" si="39">AY11</f>
        <v>0</v>
      </c>
      <c r="AZ6" s="29">
        <f t="shared" si="39"/>
        <v>0</v>
      </c>
      <c r="BA6" s="36">
        <f t="shared" si="8"/>
        <v>0</v>
      </c>
      <c r="BB6" s="29">
        <f>BB16+BB21+BB26+BB31</f>
        <v>2</v>
      </c>
      <c r="BC6" s="32">
        <f>BC11+BC16+BC21+BC26+BC31</f>
        <v>6.5</v>
      </c>
      <c r="BD6" s="37">
        <f t="shared" ref="BD6:BD34" si="40">BE6+BH6</f>
        <v>3</v>
      </c>
      <c r="BE6" s="40">
        <f t="shared" ref="BE6:BF34" si="41">BK6+CI6+CO6</f>
        <v>2</v>
      </c>
      <c r="BF6" s="40">
        <f t="shared" si="41"/>
        <v>0</v>
      </c>
      <c r="BG6" s="41">
        <f t="shared" si="9"/>
        <v>0</v>
      </c>
      <c r="BH6" s="29">
        <f>BH16+BH21+BH26+BH31</f>
        <v>1</v>
      </c>
      <c r="BI6" s="32">
        <f>BI11+BI16+BI21+BI26+BI31</f>
        <v>4.8</v>
      </c>
      <c r="BJ6" s="37">
        <f t="shared" ref="BJ6:BJ34" si="42">BK6+BN6</f>
        <v>0</v>
      </c>
      <c r="BK6" s="42">
        <f t="shared" ref="BK6:BL14" si="43">BQ6+BW6+CC6</f>
        <v>0</v>
      </c>
      <c r="BL6" s="42">
        <f t="shared" si="43"/>
        <v>0</v>
      </c>
      <c r="BM6" s="41">
        <f t="shared" si="10"/>
        <v>0</v>
      </c>
      <c r="BN6" s="29">
        <f>BN16+BN21+BN26+BN31</f>
        <v>0</v>
      </c>
      <c r="BO6" s="29">
        <f>BO11+BO16+BO21+BO26+BO31</f>
        <v>0</v>
      </c>
      <c r="BP6" s="29">
        <f t="shared" ref="BP6:BP34" si="44">BQ6+BT6</f>
        <v>0</v>
      </c>
      <c r="BQ6" s="29">
        <f t="shared" ref="BQ6:BR9" si="45">BQ11</f>
        <v>0</v>
      </c>
      <c r="BR6" s="29">
        <f t="shared" si="45"/>
        <v>0</v>
      </c>
      <c r="BS6" s="36">
        <f t="shared" si="11"/>
        <v>0</v>
      </c>
      <c r="BT6" s="29">
        <f>BT16+BT21+BT26+BT31</f>
        <v>0</v>
      </c>
      <c r="BU6" s="29">
        <f>BU11+BU16+BU21+BU26+BU31</f>
        <v>0</v>
      </c>
      <c r="BV6" s="29">
        <f t="shared" ref="BV6:BV34" si="46">BW6+BZ6</f>
        <v>0</v>
      </c>
      <c r="BW6" s="29">
        <f t="shared" ref="BW6:BX9" si="47">BW11</f>
        <v>0</v>
      </c>
      <c r="BX6" s="29">
        <f t="shared" si="47"/>
        <v>0</v>
      </c>
      <c r="BY6" s="36">
        <f t="shared" si="12"/>
        <v>0</v>
      </c>
      <c r="BZ6" s="29">
        <f>BZ16+BZ21+BZ26+BZ31</f>
        <v>0</v>
      </c>
      <c r="CA6" s="29">
        <f>CA11+CA16+CA21+CA26+CA31</f>
        <v>0</v>
      </c>
      <c r="CB6" s="29">
        <f t="shared" ref="CB6:CB34" si="48">CC6+CF6</f>
        <v>0</v>
      </c>
      <c r="CC6" s="29">
        <f t="shared" ref="CC6:CD9" si="49">CC11</f>
        <v>0</v>
      </c>
      <c r="CD6" s="29">
        <f t="shared" si="49"/>
        <v>0</v>
      </c>
      <c r="CE6" s="36">
        <f t="shared" si="13"/>
        <v>0</v>
      </c>
      <c r="CF6" s="29">
        <f>CF16+CF21+CF26+CF31</f>
        <v>0</v>
      </c>
      <c r="CG6" s="29">
        <f>CG11+CG16+CG21+CG26+CG31</f>
        <v>0</v>
      </c>
      <c r="CH6" s="30">
        <f t="shared" ref="CH6:CH34" si="50">CI6+CL6</f>
        <v>3</v>
      </c>
      <c r="CI6" s="29">
        <f t="shared" ref="CI6:CJ9" si="51">CI11</f>
        <v>2</v>
      </c>
      <c r="CJ6" s="29">
        <f t="shared" si="51"/>
        <v>0</v>
      </c>
      <c r="CK6" s="36">
        <f t="shared" si="14"/>
        <v>0</v>
      </c>
      <c r="CL6" s="29">
        <f>CL16+CL21+CL26+CL31</f>
        <v>1</v>
      </c>
      <c r="CM6" s="29">
        <f>CM11+CM16+CM21+CM26+CM31</f>
        <v>4.8</v>
      </c>
      <c r="CN6" s="43">
        <f t="shared" ref="CN6:CN34" si="52">CO6+CR6</f>
        <v>0</v>
      </c>
      <c r="CO6" s="29">
        <f t="shared" ref="CO6:CP9" si="53">CO11</f>
        <v>0</v>
      </c>
      <c r="CP6" s="29">
        <f t="shared" si="53"/>
        <v>0</v>
      </c>
      <c r="CQ6" s="36">
        <f t="shared" si="15"/>
        <v>0</v>
      </c>
      <c r="CR6" s="29">
        <f>CR16+CR21+CR26+CR31</f>
        <v>0</v>
      </c>
      <c r="CS6" s="32">
        <f>CS11+CS16+CS21+CS26+CS31</f>
        <v>0</v>
      </c>
      <c r="CT6" s="44">
        <f t="shared" ref="CT6:CT34" si="54">CU6+CX6</f>
        <v>0</v>
      </c>
      <c r="CU6" s="29">
        <f t="shared" ref="CU6:CV9" si="55">CU11</f>
        <v>0</v>
      </c>
      <c r="CV6" s="29">
        <f t="shared" si="55"/>
        <v>0</v>
      </c>
      <c r="CW6" s="36">
        <f t="shared" si="16"/>
        <v>0</v>
      </c>
      <c r="CX6" s="29">
        <f>CX16+CX21+CX26+CX31</f>
        <v>0</v>
      </c>
      <c r="CY6" s="32">
        <f>CY11+CY16+CY21+CY26+CY31</f>
        <v>0</v>
      </c>
      <c r="DB6" s="46">
        <f t="shared" si="17"/>
        <v>2</v>
      </c>
      <c r="DC6" s="38">
        <f t="shared" ref="DC6:DD9" si="56">DI6+DO6+DU6</f>
        <v>0</v>
      </c>
      <c r="DD6" s="38">
        <f t="shared" si="56"/>
        <v>0</v>
      </c>
      <c r="DE6" s="39">
        <f t="shared" ref="DE6:DE9" si="57">IFERROR(DD6/DC6*100,0)</f>
        <v>0</v>
      </c>
      <c r="DF6" s="47">
        <f t="shared" ref="DF6:DG9" si="58">DL6+DR6+DX6</f>
        <v>2</v>
      </c>
      <c r="DG6" s="48">
        <f t="shared" si="58"/>
        <v>6.5</v>
      </c>
      <c r="DH6" s="49">
        <f t="shared" ref="DH6:DJ9" si="59">AL6+BP6</f>
        <v>0</v>
      </c>
      <c r="DI6" s="47">
        <f t="shared" si="59"/>
        <v>0</v>
      </c>
      <c r="DJ6" s="47">
        <f t="shared" si="59"/>
        <v>0</v>
      </c>
      <c r="DK6" s="50">
        <f t="shared" si="18"/>
        <v>0</v>
      </c>
      <c r="DL6" s="47">
        <f t="shared" ref="DL6:DP9" si="60">AP6+BT6</f>
        <v>0</v>
      </c>
      <c r="DM6" s="48">
        <f t="shared" si="60"/>
        <v>0</v>
      </c>
      <c r="DN6" s="49">
        <f t="shared" si="60"/>
        <v>0</v>
      </c>
      <c r="DO6" s="47">
        <f t="shared" si="60"/>
        <v>0</v>
      </c>
      <c r="DP6" s="47">
        <f t="shared" si="60"/>
        <v>0</v>
      </c>
      <c r="DQ6" s="50">
        <f t="shared" si="19"/>
        <v>0</v>
      </c>
      <c r="DR6" s="47">
        <f t="shared" ref="DR6:DV9" si="61">AV6+BZ6</f>
        <v>0</v>
      </c>
      <c r="DS6" s="48">
        <f t="shared" si="61"/>
        <v>0</v>
      </c>
      <c r="DT6" s="49">
        <f t="shared" si="61"/>
        <v>2</v>
      </c>
      <c r="DU6" s="47">
        <f t="shared" si="61"/>
        <v>0</v>
      </c>
      <c r="DV6" s="47">
        <f t="shared" si="61"/>
        <v>0</v>
      </c>
      <c r="DW6" s="50">
        <f t="shared" si="20"/>
        <v>0</v>
      </c>
      <c r="DX6" s="47">
        <f t="shared" ref="DX6:DY9" si="62">BB6+CF6</f>
        <v>2</v>
      </c>
      <c r="DY6" s="48">
        <f t="shared" si="62"/>
        <v>6.5</v>
      </c>
    </row>
    <row r="7" spans="1:129" s="45" customFormat="1" ht="15.75" customHeight="1" x14ac:dyDescent="0.25">
      <c r="A7" s="28" t="s">
        <v>169</v>
      </c>
      <c r="B7" s="29">
        <f t="shared" si="21"/>
        <v>22</v>
      </c>
      <c r="C7" s="30">
        <f t="shared" si="22"/>
        <v>8</v>
      </c>
      <c r="D7" s="30">
        <f t="shared" si="22"/>
        <v>0</v>
      </c>
      <c r="E7" s="31">
        <f t="shared" si="0"/>
        <v>0</v>
      </c>
      <c r="F7" s="29">
        <f t="shared" si="23"/>
        <v>14</v>
      </c>
      <c r="G7" s="32">
        <f t="shared" si="23"/>
        <v>136</v>
      </c>
      <c r="H7" s="33">
        <f t="shared" si="24"/>
        <v>4</v>
      </c>
      <c r="I7" s="34">
        <f t="shared" si="25"/>
        <v>2</v>
      </c>
      <c r="J7" s="34">
        <f t="shared" si="25"/>
        <v>0</v>
      </c>
      <c r="K7" s="35">
        <f t="shared" si="1"/>
        <v>0</v>
      </c>
      <c r="L7" s="29">
        <f>L17+L22+L27+L32</f>
        <v>2</v>
      </c>
      <c r="M7" s="32">
        <f>M12+M17+M22+M27+M32</f>
        <v>56.1</v>
      </c>
      <c r="N7" s="33">
        <f t="shared" si="26"/>
        <v>0</v>
      </c>
      <c r="O7" s="29">
        <f t="shared" si="27"/>
        <v>0</v>
      </c>
      <c r="P7" s="29">
        <f t="shared" si="27"/>
        <v>0</v>
      </c>
      <c r="Q7" s="36">
        <f t="shared" si="2"/>
        <v>0</v>
      </c>
      <c r="R7" s="29">
        <f>R17+R22+R27+R32</f>
        <v>0</v>
      </c>
      <c r="S7" s="29">
        <f>S12+S17+S22+S27+S32</f>
        <v>0</v>
      </c>
      <c r="T7" s="29">
        <f t="shared" si="28"/>
        <v>0</v>
      </c>
      <c r="U7" s="29">
        <f t="shared" si="29"/>
        <v>0</v>
      </c>
      <c r="V7" s="29">
        <f t="shared" si="29"/>
        <v>0</v>
      </c>
      <c r="W7" s="36">
        <f t="shared" si="3"/>
        <v>0</v>
      </c>
      <c r="X7" s="29">
        <f>X17+X22+X27+X32</f>
        <v>0</v>
      </c>
      <c r="Y7" s="29">
        <f>Y12+Y17+Y22+Y27+Y32</f>
        <v>0</v>
      </c>
      <c r="Z7" s="29">
        <f t="shared" si="30"/>
        <v>4</v>
      </c>
      <c r="AA7" s="29">
        <f t="shared" si="31"/>
        <v>2</v>
      </c>
      <c r="AB7" s="29">
        <f t="shared" si="31"/>
        <v>0</v>
      </c>
      <c r="AC7" s="36">
        <f t="shared" si="4"/>
        <v>0</v>
      </c>
      <c r="AD7" s="29">
        <f>AD17+AD22+AD27+AD32</f>
        <v>2</v>
      </c>
      <c r="AE7" s="32">
        <f>AE12+AE17+AE22+AE27+AE32</f>
        <v>56.1</v>
      </c>
      <c r="AF7" s="37">
        <f t="shared" si="32"/>
        <v>16</v>
      </c>
      <c r="AG7" s="38">
        <f t="shared" si="33"/>
        <v>5</v>
      </c>
      <c r="AH7" s="38">
        <f t="shared" si="33"/>
        <v>0</v>
      </c>
      <c r="AI7" s="39">
        <f t="shared" si="5"/>
        <v>0</v>
      </c>
      <c r="AJ7" s="29">
        <f>AJ17+AJ22+AJ27+AJ32</f>
        <v>11</v>
      </c>
      <c r="AK7" s="32">
        <f>AK12+AK17+AK22+AK27+AK32</f>
        <v>73.400000000000006</v>
      </c>
      <c r="AL7" s="37">
        <f t="shared" si="34"/>
        <v>0</v>
      </c>
      <c r="AM7" s="29">
        <f t="shared" si="35"/>
        <v>0</v>
      </c>
      <c r="AN7" s="29">
        <f t="shared" si="35"/>
        <v>0</v>
      </c>
      <c r="AO7" s="36">
        <f t="shared" si="6"/>
        <v>0</v>
      </c>
      <c r="AP7" s="29">
        <f>AP17+AP22+AP27+AP32</f>
        <v>0</v>
      </c>
      <c r="AQ7" s="29">
        <f>AQ12+AQ17+AQ22+AQ27+AQ32</f>
        <v>0</v>
      </c>
      <c r="AR7" s="29">
        <f t="shared" si="36"/>
        <v>0</v>
      </c>
      <c r="AS7" s="29">
        <f t="shared" si="37"/>
        <v>0</v>
      </c>
      <c r="AT7" s="29">
        <f t="shared" si="37"/>
        <v>0</v>
      </c>
      <c r="AU7" s="36">
        <f t="shared" si="7"/>
        <v>0</v>
      </c>
      <c r="AV7" s="29">
        <f>AV17+AV22+AV27+AV32</f>
        <v>0</v>
      </c>
      <c r="AW7" s="29">
        <f>AW12+AW17+AW22+AW27+AW32</f>
        <v>0</v>
      </c>
      <c r="AX7" s="29">
        <f t="shared" si="38"/>
        <v>16</v>
      </c>
      <c r="AY7" s="29">
        <f t="shared" si="39"/>
        <v>5</v>
      </c>
      <c r="AZ7" s="29">
        <f t="shared" si="39"/>
        <v>0</v>
      </c>
      <c r="BA7" s="36">
        <f t="shared" si="8"/>
        <v>0</v>
      </c>
      <c r="BB7" s="29">
        <f>BB17+BB22+BB27+BB32</f>
        <v>11</v>
      </c>
      <c r="BC7" s="32">
        <f>BC12+BC17+BC22+BC27+BC32</f>
        <v>73.400000000000006</v>
      </c>
      <c r="BD7" s="37">
        <f t="shared" si="40"/>
        <v>2</v>
      </c>
      <c r="BE7" s="40">
        <f t="shared" si="41"/>
        <v>1</v>
      </c>
      <c r="BF7" s="40">
        <f t="shared" si="41"/>
        <v>0</v>
      </c>
      <c r="BG7" s="41">
        <f t="shared" si="9"/>
        <v>0</v>
      </c>
      <c r="BH7" s="29">
        <f>BH17+BH22+BH27+BH32</f>
        <v>1</v>
      </c>
      <c r="BI7" s="32">
        <f>BI12+BI17+BI22+BI27+BI32</f>
        <v>6.5</v>
      </c>
      <c r="BJ7" s="37">
        <f t="shared" si="42"/>
        <v>0</v>
      </c>
      <c r="BK7" s="42">
        <f t="shared" si="43"/>
        <v>0</v>
      </c>
      <c r="BL7" s="42">
        <f t="shared" si="43"/>
        <v>0</v>
      </c>
      <c r="BM7" s="41">
        <f t="shared" si="10"/>
        <v>0</v>
      </c>
      <c r="BN7" s="29">
        <f>BN17+BN22+BN27+BN32</f>
        <v>0</v>
      </c>
      <c r="BO7" s="29">
        <f>BO12+BO17+BO22+BO27+BO32</f>
        <v>0</v>
      </c>
      <c r="BP7" s="29">
        <f t="shared" si="44"/>
        <v>0</v>
      </c>
      <c r="BQ7" s="29">
        <f t="shared" si="45"/>
        <v>0</v>
      </c>
      <c r="BR7" s="29">
        <f t="shared" si="45"/>
        <v>0</v>
      </c>
      <c r="BS7" s="36">
        <f t="shared" si="11"/>
        <v>0</v>
      </c>
      <c r="BT7" s="29">
        <f>BT17+BT22+BT27+BT32</f>
        <v>0</v>
      </c>
      <c r="BU7" s="29">
        <f>BU12+BU17+BU22+BU27+BU32</f>
        <v>0</v>
      </c>
      <c r="BV7" s="29">
        <f t="shared" si="46"/>
        <v>0</v>
      </c>
      <c r="BW7" s="29">
        <f t="shared" si="47"/>
        <v>0</v>
      </c>
      <c r="BX7" s="29">
        <f t="shared" si="47"/>
        <v>0</v>
      </c>
      <c r="BY7" s="36">
        <f t="shared" si="12"/>
        <v>0</v>
      </c>
      <c r="BZ7" s="29">
        <f>BZ17+BZ22+BZ27+BZ32</f>
        <v>0</v>
      </c>
      <c r="CA7" s="29">
        <f>CA12+CA17+CA22+CA27+CA32</f>
        <v>0</v>
      </c>
      <c r="CB7" s="29">
        <f t="shared" si="48"/>
        <v>0</v>
      </c>
      <c r="CC7" s="29">
        <f t="shared" si="49"/>
        <v>0</v>
      </c>
      <c r="CD7" s="29">
        <f t="shared" si="49"/>
        <v>0</v>
      </c>
      <c r="CE7" s="36">
        <f t="shared" si="13"/>
        <v>0</v>
      </c>
      <c r="CF7" s="29">
        <f>CF17+CF22+CF27+CF32</f>
        <v>0</v>
      </c>
      <c r="CG7" s="29">
        <f>CG12+CG17+CG22+CG27+CG32</f>
        <v>0</v>
      </c>
      <c r="CH7" s="30">
        <f t="shared" si="50"/>
        <v>2</v>
      </c>
      <c r="CI7" s="29">
        <f t="shared" si="51"/>
        <v>1</v>
      </c>
      <c r="CJ7" s="29">
        <f t="shared" si="51"/>
        <v>0</v>
      </c>
      <c r="CK7" s="36">
        <f t="shared" si="14"/>
        <v>0</v>
      </c>
      <c r="CL7" s="29">
        <f>CL17+CL22+CL27+CL32</f>
        <v>1</v>
      </c>
      <c r="CM7" s="29">
        <f>CM12+CM17+CM22+CM27+CM32</f>
        <v>6.5</v>
      </c>
      <c r="CN7" s="43">
        <f t="shared" si="52"/>
        <v>0</v>
      </c>
      <c r="CO7" s="29">
        <f t="shared" si="53"/>
        <v>0</v>
      </c>
      <c r="CP7" s="29">
        <f t="shared" si="53"/>
        <v>0</v>
      </c>
      <c r="CQ7" s="36">
        <f t="shared" si="15"/>
        <v>0</v>
      </c>
      <c r="CR7" s="29">
        <f>CR17+CR22+CR27+CR32</f>
        <v>0</v>
      </c>
      <c r="CS7" s="32">
        <f>CS12+CS17+CS22+CS27+CS32</f>
        <v>0</v>
      </c>
      <c r="CT7" s="44">
        <f t="shared" si="54"/>
        <v>0</v>
      </c>
      <c r="CU7" s="29">
        <f t="shared" si="55"/>
        <v>0</v>
      </c>
      <c r="CV7" s="29">
        <f t="shared" si="55"/>
        <v>0</v>
      </c>
      <c r="CW7" s="36">
        <f t="shared" si="16"/>
        <v>0</v>
      </c>
      <c r="CX7" s="29">
        <f>CX17+CX22+CX27+CX32</f>
        <v>0</v>
      </c>
      <c r="CY7" s="32">
        <f>CY12+CY17+CY22+CY27+CY32</f>
        <v>0</v>
      </c>
      <c r="DB7" s="46">
        <f t="shared" si="17"/>
        <v>16</v>
      </c>
      <c r="DC7" s="38">
        <f t="shared" si="56"/>
        <v>5</v>
      </c>
      <c r="DD7" s="38">
        <f t="shared" si="56"/>
        <v>0</v>
      </c>
      <c r="DE7" s="39">
        <f t="shared" si="57"/>
        <v>0</v>
      </c>
      <c r="DF7" s="47">
        <f t="shared" si="58"/>
        <v>11</v>
      </c>
      <c r="DG7" s="48">
        <f t="shared" si="58"/>
        <v>73.400000000000006</v>
      </c>
      <c r="DH7" s="49">
        <f t="shared" si="59"/>
        <v>0</v>
      </c>
      <c r="DI7" s="47">
        <f t="shared" si="59"/>
        <v>0</v>
      </c>
      <c r="DJ7" s="47">
        <f t="shared" si="59"/>
        <v>0</v>
      </c>
      <c r="DK7" s="50">
        <f t="shared" si="18"/>
        <v>0</v>
      </c>
      <c r="DL7" s="47">
        <f t="shared" si="60"/>
        <v>0</v>
      </c>
      <c r="DM7" s="48">
        <f t="shared" si="60"/>
        <v>0</v>
      </c>
      <c r="DN7" s="49">
        <f t="shared" si="60"/>
        <v>0</v>
      </c>
      <c r="DO7" s="47">
        <f t="shared" si="60"/>
        <v>0</v>
      </c>
      <c r="DP7" s="47">
        <f t="shared" si="60"/>
        <v>0</v>
      </c>
      <c r="DQ7" s="50">
        <f t="shared" si="19"/>
        <v>0</v>
      </c>
      <c r="DR7" s="47">
        <f t="shared" si="61"/>
        <v>0</v>
      </c>
      <c r="DS7" s="48">
        <f t="shared" si="61"/>
        <v>0</v>
      </c>
      <c r="DT7" s="49">
        <f t="shared" si="61"/>
        <v>16</v>
      </c>
      <c r="DU7" s="47">
        <f t="shared" si="61"/>
        <v>5</v>
      </c>
      <c r="DV7" s="47">
        <f t="shared" si="61"/>
        <v>0</v>
      </c>
      <c r="DW7" s="50">
        <f t="shared" si="20"/>
        <v>0</v>
      </c>
      <c r="DX7" s="47">
        <f t="shared" si="62"/>
        <v>11</v>
      </c>
      <c r="DY7" s="48">
        <f t="shared" si="62"/>
        <v>73.400000000000006</v>
      </c>
    </row>
    <row r="8" spans="1:129" s="45" customFormat="1" ht="15.75" customHeight="1" x14ac:dyDescent="0.25">
      <c r="A8" s="28" t="s">
        <v>170</v>
      </c>
      <c r="B8" s="29">
        <f t="shared" si="21"/>
        <v>15</v>
      </c>
      <c r="C8" s="30">
        <f t="shared" si="22"/>
        <v>3</v>
      </c>
      <c r="D8" s="30">
        <f t="shared" si="22"/>
        <v>0</v>
      </c>
      <c r="E8" s="31">
        <f t="shared" si="0"/>
        <v>0</v>
      </c>
      <c r="F8" s="29">
        <f t="shared" si="23"/>
        <v>12</v>
      </c>
      <c r="G8" s="32">
        <f t="shared" si="23"/>
        <v>75.599999999999994</v>
      </c>
      <c r="H8" s="33">
        <f t="shared" si="24"/>
        <v>0</v>
      </c>
      <c r="I8" s="34">
        <f t="shared" si="25"/>
        <v>0</v>
      </c>
      <c r="J8" s="34">
        <f t="shared" si="25"/>
        <v>0</v>
      </c>
      <c r="K8" s="35">
        <f t="shared" si="1"/>
        <v>0</v>
      </c>
      <c r="L8" s="29">
        <f>L18+L23+L28+L33</f>
        <v>0</v>
      </c>
      <c r="M8" s="32">
        <f>M13+M18+M23+M28+M33</f>
        <v>0</v>
      </c>
      <c r="N8" s="33">
        <f t="shared" si="26"/>
        <v>0</v>
      </c>
      <c r="O8" s="29">
        <f t="shared" si="27"/>
        <v>0</v>
      </c>
      <c r="P8" s="29">
        <f t="shared" si="27"/>
        <v>0</v>
      </c>
      <c r="Q8" s="36">
        <f t="shared" si="2"/>
        <v>0</v>
      </c>
      <c r="R8" s="29">
        <f>R18+R23+R28+R33</f>
        <v>0</v>
      </c>
      <c r="S8" s="29">
        <f>S13+S18+S23+S28+S33</f>
        <v>0</v>
      </c>
      <c r="T8" s="29">
        <f t="shared" si="28"/>
        <v>0</v>
      </c>
      <c r="U8" s="29">
        <f t="shared" si="29"/>
        <v>0</v>
      </c>
      <c r="V8" s="29">
        <f t="shared" si="29"/>
        <v>0</v>
      </c>
      <c r="W8" s="36">
        <f t="shared" si="3"/>
        <v>0</v>
      </c>
      <c r="X8" s="29">
        <f>X18+X23+X28+X33</f>
        <v>0</v>
      </c>
      <c r="Y8" s="29">
        <f>Y13+Y18+Y23+Y28+Y33</f>
        <v>0</v>
      </c>
      <c r="Z8" s="29">
        <f t="shared" si="30"/>
        <v>0</v>
      </c>
      <c r="AA8" s="29">
        <f t="shared" si="31"/>
        <v>0</v>
      </c>
      <c r="AB8" s="29">
        <f t="shared" si="31"/>
        <v>0</v>
      </c>
      <c r="AC8" s="36">
        <f t="shared" si="4"/>
        <v>0</v>
      </c>
      <c r="AD8" s="29">
        <f>AD18+AD23+AD28+AD33</f>
        <v>0</v>
      </c>
      <c r="AE8" s="32">
        <f>AE13+AE18+AE23+AE28+AE33</f>
        <v>0</v>
      </c>
      <c r="AF8" s="37">
        <f t="shared" si="32"/>
        <v>14</v>
      </c>
      <c r="AG8" s="38">
        <f t="shared" si="33"/>
        <v>2</v>
      </c>
      <c r="AH8" s="38">
        <f t="shared" si="33"/>
        <v>0</v>
      </c>
      <c r="AI8" s="39">
        <f t="shared" si="5"/>
        <v>0</v>
      </c>
      <c r="AJ8" s="29">
        <f>AJ18+AJ23+AJ28+AJ33</f>
        <v>12</v>
      </c>
      <c r="AK8" s="32">
        <f>AK13+AK18+AK23+AK28+AK33</f>
        <v>68.599999999999994</v>
      </c>
      <c r="AL8" s="37">
        <f t="shared" si="34"/>
        <v>0</v>
      </c>
      <c r="AM8" s="29">
        <f t="shared" si="35"/>
        <v>0</v>
      </c>
      <c r="AN8" s="29">
        <f t="shared" si="35"/>
        <v>0</v>
      </c>
      <c r="AO8" s="36">
        <f t="shared" si="6"/>
        <v>0</v>
      </c>
      <c r="AP8" s="29">
        <f>AP18+AP23+AP28+AP33</f>
        <v>0</v>
      </c>
      <c r="AQ8" s="29">
        <f>AQ13+AQ18+AQ23+AQ28+AQ33</f>
        <v>0</v>
      </c>
      <c r="AR8" s="29">
        <f t="shared" si="36"/>
        <v>3</v>
      </c>
      <c r="AS8" s="29">
        <f t="shared" si="37"/>
        <v>0</v>
      </c>
      <c r="AT8" s="29">
        <f t="shared" si="37"/>
        <v>0</v>
      </c>
      <c r="AU8" s="36">
        <f t="shared" si="7"/>
        <v>0</v>
      </c>
      <c r="AV8" s="29">
        <f>AV18+AV23+AV28+AV33</f>
        <v>3</v>
      </c>
      <c r="AW8" s="29">
        <f>AW13+AW18+AW23+AW28+AW33</f>
        <v>12</v>
      </c>
      <c r="AX8" s="29">
        <f t="shared" si="38"/>
        <v>11</v>
      </c>
      <c r="AY8" s="29">
        <f t="shared" si="39"/>
        <v>2</v>
      </c>
      <c r="AZ8" s="29">
        <f t="shared" si="39"/>
        <v>0</v>
      </c>
      <c r="BA8" s="36">
        <f t="shared" si="8"/>
        <v>0</v>
      </c>
      <c r="BB8" s="29">
        <f>BB18+BB23+BB28+BB33</f>
        <v>9</v>
      </c>
      <c r="BC8" s="32">
        <f>BC13+BC18+BC23+BC28+BC33</f>
        <v>56.599999999999994</v>
      </c>
      <c r="BD8" s="37">
        <f t="shared" si="40"/>
        <v>1</v>
      </c>
      <c r="BE8" s="40">
        <f t="shared" si="41"/>
        <v>1</v>
      </c>
      <c r="BF8" s="40">
        <f t="shared" si="41"/>
        <v>0</v>
      </c>
      <c r="BG8" s="41">
        <f t="shared" si="9"/>
        <v>0</v>
      </c>
      <c r="BH8" s="29">
        <f>BH18+BH23+BH28+BH33</f>
        <v>0</v>
      </c>
      <c r="BI8" s="32">
        <f>BI13+BI18+BI23+BI28+BI33</f>
        <v>7</v>
      </c>
      <c r="BJ8" s="37">
        <f t="shared" si="42"/>
        <v>0</v>
      </c>
      <c r="BK8" s="42">
        <f t="shared" si="43"/>
        <v>0</v>
      </c>
      <c r="BL8" s="42">
        <f t="shared" si="43"/>
        <v>0</v>
      </c>
      <c r="BM8" s="41">
        <f t="shared" si="10"/>
        <v>0</v>
      </c>
      <c r="BN8" s="29">
        <f>BN18+BN23+BN28+BN33</f>
        <v>0</v>
      </c>
      <c r="BO8" s="29">
        <f>BO13+BO18+BO23+BO28+BO33</f>
        <v>0</v>
      </c>
      <c r="BP8" s="29">
        <f t="shared" si="44"/>
        <v>0</v>
      </c>
      <c r="BQ8" s="29">
        <f t="shared" si="45"/>
        <v>0</v>
      </c>
      <c r="BR8" s="29">
        <f t="shared" si="45"/>
        <v>0</v>
      </c>
      <c r="BS8" s="36">
        <f t="shared" si="11"/>
        <v>0</v>
      </c>
      <c r="BT8" s="29">
        <f>BT18+BT23+BT28+BT33</f>
        <v>0</v>
      </c>
      <c r="BU8" s="29">
        <f>BU13+BU18+BU23+BU28+BU33</f>
        <v>0</v>
      </c>
      <c r="BV8" s="29">
        <f t="shared" si="46"/>
        <v>0</v>
      </c>
      <c r="BW8" s="29">
        <f t="shared" si="47"/>
        <v>0</v>
      </c>
      <c r="BX8" s="29">
        <f t="shared" si="47"/>
        <v>0</v>
      </c>
      <c r="BY8" s="36">
        <f t="shared" si="12"/>
        <v>0</v>
      </c>
      <c r="BZ8" s="29">
        <f>BZ18+BZ23+BZ28+BZ33</f>
        <v>0</v>
      </c>
      <c r="CA8" s="29">
        <f>CA13+CA18+CA23+CA28+CA33</f>
        <v>0</v>
      </c>
      <c r="CB8" s="29">
        <f t="shared" si="48"/>
        <v>0</v>
      </c>
      <c r="CC8" s="29">
        <f t="shared" si="49"/>
        <v>0</v>
      </c>
      <c r="CD8" s="29">
        <f t="shared" si="49"/>
        <v>0</v>
      </c>
      <c r="CE8" s="36">
        <f t="shared" si="13"/>
        <v>0</v>
      </c>
      <c r="CF8" s="29">
        <f>CF18+CF23+CF28+CF33</f>
        <v>0</v>
      </c>
      <c r="CG8" s="29">
        <f>CG13+CG18+CG23+CG28+CG33</f>
        <v>0</v>
      </c>
      <c r="CH8" s="30">
        <f t="shared" si="50"/>
        <v>1</v>
      </c>
      <c r="CI8" s="29">
        <f t="shared" si="51"/>
        <v>1</v>
      </c>
      <c r="CJ8" s="29">
        <f t="shared" si="51"/>
        <v>0</v>
      </c>
      <c r="CK8" s="36">
        <f t="shared" si="14"/>
        <v>0</v>
      </c>
      <c r="CL8" s="29">
        <f>CL18+CL23+CL28+CL33</f>
        <v>0</v>
      </c>
      <c r="CM8" s="29">
        <f>CM13+CM18+CM23+CM28+CM33</f>
        <v>7</v>
      </c>
      <c r="CN8" s="43">
        <f t="shared" si="52"/>
        <v>0</v>
      </c>
      <c r="CO8" s="29">
        <f t="shared" si="53"/>
        <v>0</v>
      </c>
      <c r="CP8" s="29">
        <f t="shared" si="53"/>
        <v>0</v>
      </c>
      <c r="CQ8" s="36">
        <f t="shared" si="15"/>
        <v>0</v>
      </c>
      <c r="CR8" s="29">
        <f>CR18+CR23+CR28+CR33</f>
        <v>0</v>
      </c>
      <c r="CS8" s="32">
        <f>CS13+CS18+CS23+CS28+CS33</f>
        <v>0</v>
      </c>
      <c r="CT8" s="44">
        <f t="shared" si="54"/>
        <v>0</v>
      </c>
      <c r="CU8" s="29">
        <f t="shared" si="55"/>
        <v>0</v>
      </c>
      <c r="CV8" s="29">
        <f t="shared" si="55"/>
        <v>0</v>
      </c>
      <c r="CW8" s="36">
        <f t="shared" si="16"/>
        <v>0</v>
      </c>
      <c r="CX8" s="29">
        <f>CX18+CX23+CX28+CX33</f>
        <v>0</v>
      </c>
      <c r="CY8" s="32">
        <f>CY13+CY18+CY23+CY28+CY33</f>
        <v>0</v>
      </c>
      <c r="DB8" s="46">
        <f t="shared" si="17"/>
        <v>14</v>
      </c>
      <c r="DC8" s="38">
        <f t="shared" si="56"/>
        <v>2</v>
      </c>
      <c r="DD8" s="38">
        <f t="shared" si="56"/>
        <v>0</v>
      </c>
      <c r="DE8" s="39">
        <f t="shared" si="57"/>
        <v>0</v>
      </c>
      <c r="DF8" s="47">
        <f t="shared" si="58"/>
        <v>12</v>
      </c>
      <c r="DG8" s="48">
        <f t="shared" si="58"/>
        <v>68.599999999999994</v>
      </c>
      <c r="DH8" s="49">
        <f t="shared" si="59"/>
        <v>0</v>
      </c>
      <c r="DI8" s="47">
        <f t="shared" si="59"/>
        <v>0</v>
      </c>
      <c r="DJ8" s="47">
        <f t="shared" si="59"/>
        <v>0</v>
      </c>
      <c r="DK8" s="50">
        <f t="shared" si="18"/>
        <v>0</v>
      </c>
      <c r="DL8" s="47">
        <f t="shared" si="60"/>
        <v>0</v>
      </c>
      <c r="DM8" s="48">
        <f t="shared" si="60"/>
        <v>0</v>
      </c>
      <c r="DN8" s="49">
        <f t="shared" si="60"/>
        <v>3</v>
      </c>
      <c r="DO8" s="47">
        <f t="shared" si="60"/>
        <v>0</v>
      </c>
      <c r="DP8" s="47">
        <f t="shared" si="60"/>
        <v>0</v>
      </c>
      <c r="DQ8" s="50">
        <f t="shared" si="19"/>
        <v>0</v>
      </c>
      <c r="DR8" s="47">
        <f t="shared" si="61"/>
        <v>3</v>
      </c>
      <c r="DS8" s="48">
        <f t="shared" si="61"/>
        <v>12</v>
      </c>
      <c r="DT8" s="49">
        <f t="shared" si="61"/>
        <v>11</v>
      </c>
      <c r="DU8" s="47">
        <f t="shared" si="61"/>
        <v>2</v>
      </c>
      <c r="DV8" s="47">
        <f t="shared" si="61"/>
        <v>0</v>
      </c>
      <c r="DW8" s="50">
        <f t="shared" si="20"/>
        <v>0</v>
      </c>
      <c r="DX8" s="47">
        <f t="shared" si="62"/>
        <v>9</v>
      </c>
      <c r="DY8" s="48">
        <f t="shared" si="62"/>
        <v>56.599999999999994</v>
      </c>
    </row>
    <row r="9" spans="1:129" s="45" customFormat="1" ht="15.75" customHeight="1" x14ac:dyDescent="0.25">
      <c r="A9" s="28" t="s">
        <v>171</v>
      </c>
      <c r="B9" s="29">
        <f t="shared" si="21"/>
        <v>12</v>
      </c>
      <c r="C9" s="30">
        <f t="shared" si="22"/>
        <v>1</v>
      </c>
      <c r="D9" s="30">
        <f t="shared" si="22"/>
        <v>0</v>
      </c>
      <c r="E9" s="31">
        <f t="shared" si="0"/>
        <v>0</v>
      </c>
      <c r="F9" s="29">
        <f t="shared" si="23"/>
        <v>11</v>
      </c>
      <c r="G9" s="32">
        <f t="shared" si="23"/>
        <v>53.099999999999994</v>
      </c>
      <c r="H9" s="33">
        <f>I9+L9</f>
        <v>2</v>
      </c>
      <c r="I9" s="34">
        <f>O9+U9+AA9</f>
        <v>1</v>
      </c>
      <c r="J9" s="34">
        <f>P9+V9+AB9</f>
        <v>0</v>
      </c>
      <c r="K9" s="35">
        <f t="shared" si="1"/>
        <v>0</v>
      </c>
      <c r="L9" s="29">
        <f>L19+L24+L29+L34</f>
        <v>1</v>
      </c>
      <c r="M9" s="32">
        <f>M14+M19+M24+M29+M34</f>
        <v>12.2</v>
      </c>
      <c r="N9" s="33">
        <f>O9+R9</f>
        <v>0</v>
      </c>
      <c r="O9" s="29">
        <f t="shared" si="27"/>
        <v>0</v>
      </c>
      <c r="P9" s="29">
        <f t="shared" si="27"/>
        <v>0</v>
      </c>
      <c r="Q9" s="36">
        <f t="shared" si="2"/>
        <v>0</v>
      </c>
      <c r="R9" s="29">
        <f>R19+R24+R29+R34</f>
        <v>0</v>
      </c>
      <c r="S9" s="29">
        <f>S14+S19+S24+S29+S34</f>
        <v>0</v>
      </c>
      <c r="T9" s="29">
        <f>U9+X9</f>
        <v>0</v>
      </c>
      <c r="U9" s="29">
        <f t="shared" si="29"/>
        <v>0</v>
      </c>
      <c r="V9" s="29">
        <f t="shared" si="29"/>
        <v>0</v>
      </c>
      <c r="W9" s="36">
        <f t="shared" si="3"/>
        <v>0</v>
      </c>
      <c r="X9" s="29">
        <f>X19+X24+X29+X34</f>
        <v>0</v>
      </c>
      <c r="Y9" s="29">
        <f>Y14+Y19+Y24+Y29+Y34</f>
        <v>0</v>
      </c>
      <c r="Z9" s="29">
        <f t="shared" si="30"/>
        <v>2</v>
      </c>
      <c r="AA9" s="29">
        <f t="shared" si="31"/>
        <v>1</v>
      </c>
      <c r="AB9" s="29">
        <f t="shared" si="31"/>
        <v>0</v>
      </c>
      <c r="AC9" s="36">
        <f t="shared" si="4"/>
        <v>0</v>
      </c>
      <c r="AD9" s="29">
        <f>AD19+AD24+AD29+AD34</f>
        <v>1</v>
      </c>
      <c r="AE9" s="32">
        <f>AE14+AE19+AE24+AE29+AE34</f>
        <v>12.2</v>
      </c>
      <c r="AF9" s="37">
        <f t="shared" si="32"/>
        <v>10</v>
      </c>
      <c r="AG9" s="38">
        <f>AM9+AS9+AY9</f>
        <v>0</v>
      </c>
      <c r="AH9" s="38">
        <f t="shared" si="33"/>
        <v>0</v>
      </c>
      <c r="AI9" s="39">
        <f t="shared" si="5"/>
        <v>0</v>
      </c>
      <c r="AJ9" s="29">
        <f>AJ19+AJ24+AJ29+AJ34</f>
        <v>10</v>
      </c>
      <c r="AK9" s="32">
        <f>AK14+AK19+AK24+AK29+AK34</f>
        <v>40.9</v>
      </c>
      <c r="AL9" s="37">
        <f t="shared" si="34"/>
        <v>0</v>
      </c>
      <c r="AM9" s="29">
        <f t="shared" si="35"/>
        <v>0</v>
      </c>
      <c r="AN9" s="29">
        <f t="shared" si="35"/>
        <v>0</v>
      </c>
      <c r="AO9" s="36">
        <f t="shared" si="6"/>
        <v>0</v>
      </c>
      <c r="AP9" s="29">
        <f>AP19+AP24+AP29+AP34</f>
        <v>0</v>
      </c>
      <c r="AQ9" s="29">
        <f>AQ14+AQ19+AQ24+AQ29+AQ34</f>
        <v>0</v>
      </c>
      <c r="AR9" s="29">
        <f t="shared" si="36"/>
        <v>8</v>
      </c>
      <c r="AS9" s="29">
        <f t="shared" si="37"/>
        <v>0</v>
      </c>
      <c r="AT9" s="29">
        <f t="shared" si="37"/>
        <v>0</v>
      </c>
      <c r="AU9" s="36">
        <f t="shared" si="7"/>
        <v>0</v>
      </c>
      <c r="AV9" s="29">
        <f>AV19+AV24+AV29+AV34</f>
        <v>8</v>
      </c>
      <c r="AW9" s="29">
        <f>AW14+AW19+AW24+AW29+AW34</f>
        <v>29</v>
      </c>
      <c r="AX9" s="29">
        <f t="shared" si="38"/>
        <v>2</v>
      </c>
      <c r="AY9" s="29">
        <f t="shared" si="39"/>
        <v>0</v>
      </c>
      <c r="AZ9" s="29">
        <f t="shared" si="39"/>
        <v>0</v>
      </c>
      <c r="BA9" s="36">
        <f t="shared" si="8"/>
        <v>0</v>
      </c>
      <c r="BB9" s="29">
        <f>BB19+BB24+BB29+BB34</f>
        <v>2</v>
      </c>
      <c r="BC9" s="32">
        <f>BC14+BC19+BC24+BC29+BC34</f>
        <v>11.9</v>
      </c>
      <c r="BD9" s="37">
        <f>BE9+BH9</f>
        <v>0</v>
      </c>
      <c r="BE9" s="40">
        <f>BK9+CI9+CO9</f>
        <v>0</v>
      </c>
      <c r="BF9" s="40">
        <f>BL9+CJ9+CP9</f>
        <v>0</v>
      </c>
      <c r="BG9" s="41">
        <f t="shared" si="9"/>
        <v>0</v>
      </c>
      <c r="BH9" s="29">
        <f>BH19+BH24+BH29+BH34</f>
        <v>0</v>
      </c>
      <c r="BI9" s="32">
        <f>BI14+BI19+BI24+BI29+BI34</f>
        <v>0</v>
      </c>
      <c r="BJ9" s="37">
        <f>BK9+BN9</f>
        <v>0</v>
      </c>
      <c r="BK9" s="42">
        <f>BQ9+BW9+CC9</f>
        <v>0</v>
      </c>
      <c r="BL9" s="42">
        <f t="shared" si="43"/>
        <v>0</v>
      </c>
      <c r="BM9" s="41">
        <f t="shared" si="10"/>
        <v>0</v>
      </c>
      <c r="BN9" s="29">
        <f>BN19+BN24+BN29+BN34</f>
        <v>0</v>
      </c>
      <c r="BO9" s="29">
        <f>BO14+BO19+BO24+BO29+BO34</f>
        <v>0</v>
      </c>
      <c r="BP9" s="29">
        <f t="shared" si="44"/>
        <v>0</v>
      </c>
      <c r="BQ9" s="29">
        <f t="shared" si="45"/>
        <v>0</v>
      </c>
      <c r="BR9" s="29">
        <f t="shared" si="45"/>
        <v>0</v>
      </c>
      <c r="BS9" s="36">
        <f t="shared" si="11"/>
        <v>0</v>
      </c>
      <c r="BT9" s="29">
        <f>BT19+BT24+BT29+BT34</f>
        <v>0</v>
      </c>
      <c r="BU9" s="29">
        <f>BU14+BU19+BU24+BU29+BU34</f>
        <v>0</v>
      </c>
      <c r="BV9" s="29">
        <f t="shared" si="46"/>
        <v>0</v>
      </c>
      <c r="BW9" s="29">
        <f t="shared" si="47"/>
        <v>0</v>
      </c>
      <c r="BX9" s="29">
        <f t="shared" si="47"/>
        <v>0</v>
      </c>
      <c r="BY9" s="36">
        <f t="shared" si="12"/>
        <v>0</v>
      </c>
      <c r="BZ9" s="29">
        <f>BZ19+BZ24+BZ29+BZ34</f>
        <v>0</v>
      </c>
      <c r="CA9" s="29">
        <f>CA14+CA19+CA24+CA29+CA34</f>
        <v>0</v>
      </c>
      <c r="CB9" s="29">
        <f t="shared" si="48"/>
        <v>0</v>
      </c>
      <c r="CC9" s="29">
        <f t="shared" si="49"/>
        <v>0</v>
      </c>
      <c r="CD9" s="29">
        <f t="shared" si="49"/>
        <v>0</v>
      </c>
      <c r="CE9" s="36">
        <f t="shared" si="13"/>
        <v>0</v>
      </c>
      <c r="CF9" s="29">
        <f>CF19+CF24+CF29+CF34</f>
        <v>0</v>
      </c>
      <c r="CG9" s="29">
        <f>CG14+CG19+CG24+CG29+CG34</f>
        <v>0</v>
      </c>
      <c r="CH9" s="30">
        <f>CI9+CL9</f>
        <v>0</v>
      </c>
      <c r="CI9" s="29">
        <f t="shared" si="51"/>
        <v>0</v>
      </c>
      <c r="CJ9" s="29">
        <f t="shared" si="51"/>
        <v>0</v>
      </c>
      <c r="CK9" s="36">
        <f t="shared" si="14"/>
        <v>0</v>
      </c>
      <c r="CL9" s="29">
        <f>CL19+CL24+CL29+CL34</f>
        <v>0</v>
      </c>
      <c r="CM9" s="29">
        <f>CM14+CM19+CM24+CM29+CM34</f>
        <v>0</v>
      </c>
      <c r="CN9" s="43">
        <f>CO9+CR9</f>
        <v>0</v>
      </c>
      <c r="CO9" s="29">
        <f t="shared" si="53"/>
        <v>0</v>
      </c>
      <c r="CP9" s="29">
        <f t="shared" si="53"/>
        <v>0</v>
      </c>
      <c r="CQ9" s="36">
        <f t="shared" si="15"/>
        <v>0</v>
      </c>
      <c r="CR9" s="29">
        <f>CR19+CR24+CR29+CR34</f>
        <v>0</v>
      </c>
      <c r="CS9" s="32">
        <f>CS14+CS19+CS24+CS29+CS34</f>
        <v>0</v>
      </c>
      <c r="CT9" s="44">
        <f t="shared" si="54"/>
        <v>0</v>
      </c>
      <c r="CU9" s="29">
        <f t="shared" si="55"/>
        <v>0</v>
      </c>
      <c r="CV9" s="29">
        <f t="shared" si="55"/>
        <v>0</v>
      </c>
      <c r="CW9" s="36">
        <f t="shared" si="16"/>
        <v>0</v>
      </c>
      <c r="CX9" s="29">
        <f>CX19+CX24+CX29+CX34</f>
        <v>0</v>
      </c>
      <c r="CY9" s="32">
        <f>CY14+CY19+CY24+CY29+CY34</f>
        <v>0</v>
      </c>
      <c r="DB9" s="46">
        <f t="shared" si="17"/>
        <v>10</v>
      </c>
      <c r="DC9" s="38">
        <f>DI9+DO9+DU9</f>
        <v>0</v>
      </c>
      <c r="DD9" s="38">
        <f t="shared" si="56"/>
        <v>0</v>
      </c>
      <c r="DE9" s="39">
        <f t="shared" si="57"/>
        <v>0</v>
      </c>
      <c r="DF9" s="47">
        <f>DL9+DR9+DX9</f>
        <v>10</v>
      </c>
      <c r="DG9" s="48">
        <f t="shared" si="58"/>
        <v>40.9</v>
      </c>
      <c r="DH9" s="49">
        <f>AL9+BP9</f>
        <v>0</v>
      </c>
      <c r="DI9" s="47">
        <f t="shared" si="59"/>
        <v>0</v>
      </c>
      <c r="DJ9" s="47">
        <f t="shared" si="59"/>
        <v>0</v>
      </c>
      <c r="DK9" s="50">
        <f t="shared" si="18"/>
        <v>0</v>
      </c>
      <c r="DL9" s="47">
        <f t="shared" si="60"/>
        <v>0</v>
      </c>
      <c r="DM9" s="48">
        <f t="shared" si="60"/>
        <v>0</v>
      </c>
      <c r="DN9" s="49">
        <f t="shared" si="60"/>
        <v>8</v>
      </c>
      <c r="DO9" s="47">
        <f t="shared" si="60"/>
        <v>0</v>
      </c>
      <c r="DP9" s="47">
        <f t="shared" si="60"/>
        <v>0</v>
      </c>
      <c r="DQ9" s="50">
        <f t="shared" si="19"/>
        <v>0</v>
      </c>
      <c r="DR9" s="47">
        <f t="shared" si="61"/>
        <v>8</v>
      </c>
      <c r="DS9" s="48">
        <f t="shared" si="61"/>
        <v>29</v>
      </c>
      <c r="DT9" s="49">
        <f t="shared" si="61"/>
        <v>2</v>
      </c>
      <c r="DU9" s="47">
        <f t="shared" si="61"/>
        <v>0</v>
      </c>
      <c r="DV9" s="47">
        <f t="shared" si="61"/>
        <v>0</v>
      </c>
      <c r="DW9" s="50">
        <f t="shared" si="20"/>
        <v>0</v>
      </c>
      <c r="DX9" s="47">
        <f t="shared" si="62"/>
        <v>2</v>
      </c>
      <c r="DY9" s="48">
        <f t="shared" si="62"/>
        <v>11.9</v>
      </c>
    </row>
    <row r="10" spans="1:129" s="45" customFormat="1" ht="33.75" customHeight="1" x14ac:dyDescent="0.25">
      <c r="A10" s="51" t="s">
        <v>235</v>
      </c>
      <c r="B10" s="42">
        <f t="shared" si="21"/>
        <v>14</v>
      </c>
      <c r="C10" s="30">
        <f t="shared" si="22"/>
        <v>14</v>
      </c>
      <c r="D10" s="30">
        <f t="shared" si="22"/>
        <v>0</v>
      </c>
      <c r="E10" s="31">
        <f t="shared" si="0"/>
        <v>0</v>
      </c>
      <c r="F10" s="42">
        <f t="shared" si="23"/>
        <v>0</v>
      </c>
      <c r="G10" s="52">
        <f t="shared" si="23"/>
        <v>80.599999999999994</v>
      </c>
      <c r="H10" s="53">
        <f t="shared" si="24"/>
        <v>3</v>
      </c>
      <c r="I10" s="34">
        <f t="shared" si="25"/>
        <v>3</v>
      </c>
      <c r="J10" s="34">
        <f t="shared" si="25"/>
        <v>0</v>
      </c>
      <c r="K10" s="35">
        <f t="shared" si="1"/>
        <v>0</v>
      </c>
      <c r="L10" s="42">
        <f t="shared" ref="L10:M25" si="63">R10+X10+AD10</f>
        <v>0</v>
      </c>
      <c r="M10" s="52">
        <f t="shared" si="63"/>
        <v>31.3</v>
      </c>
      <c r="N10" s="53">
        <f t="shared" si="26"/>
        <v>0</v>
      </c>
      <c r="O10" s="54">
        <f>SUM(O11:O14)</f>
        <v>0</v>
      </c>
      <c r="P10" s="54">
        <f>SUM(P11:P14)</f>
        <v>0</v>
      </c>
      <c r="Q10" s="41">
        <f t="shared" si="2"/>
        <v>0</v>
      </c>
      <c r="R10" s="54">
        <f>SUM(R11:R14)</f>
        <v>0</v>
      </c>
      <c r="S10" s="54">
        <f>SUM(S11:S14)</f>
        <v>0</v>
      </c>
      <c r="T10" s="42">
        <f t="shared" si="28"/>
        <v>0</v>
      </c>
      <c r="U10" s="54">
        <f>SUM(U11:U14)</f>
        <v>0</v>
      </c>
      <c r="V10" s="54">
        <f>SUM(V11:V14)</f>
        <v>0</v>
      </c>
      <c r="W10" s="41">
        <f t="shared" si="3"/>
        <v>0</v>
      </c>
      <c r="X10" s="54">
        <f>SUM(X11:X14)</f>
        <v>0</v>
      </c>
      <c r="Y10" s="54">
        <f>SUM(Y11:Y14)</f>
        <v>0</v>
      </c>
      <c r="Z10" s="42">
        <f t="shared" si="30"/>
        <v>3</v>
      </c>
      <c r="AA10" s="54">
        <f>SUM(AA11:AA14)</f>
        <v>3</v>
      </c>
      <c r="AB10" s="54">
        <f>SUM(AB11:AB14)</f>
        <v>0</v>
      </c>
      <c r="AC10" s="41">
        <f t="shared" si="4"/>
        <v>0</v>
      </c>
      <c r="AD10" s="54">
        <f>SUM(AD11:AD14)</f>
        <v>0</v>
      </c>
      <c r="AE10" s="55">
        <f>SUM(AE11:AE14)</f>
        <v>31.3</v>
      </c>
      <c r="AF10" s="56">
        <f t="shared" si="32"/>
        <v>7</v>
      </c>
      <c r="AG10" s="38">
        <f t="shared" si="33"/>
        <v>7</v>
      </c>
      <c r="AH10" s="38">
        <f t="shared" si="33"/>
        <v>0</v>
      </c>
      <c r="AI10" s="39">
        <f t="shared" si="5"/>
        <v>0</v>
      </c>
      <c r="AJ10" s="42">
        <f t="shared" ref="AJ10:AK25" si="64">AP10+AV10+BB10</f>
        <v>0</v>
      </c>
      <c r="AK10" s="52">
        <f t="shared" si="64"/>
        <v>36.299999999999997</v>
      </c>
      <c r="AL10" s="56">
        <f t="shared" si="34"/>
        <v>0</v>
      </c>
      <c r="AM10" s="54">
        <f>SUM(AM11:AM14)</f>
        <v>0</v>
      </c>
      <c r="AN10" s="54">
        <f>SUM(AN11:AN14)</f>
        <v>0</v>
      </c>
      <c r="AO10" s="41">
        <f t="shared" si="6"/>
        <v>0</v>
      </c>
      <c r="AP10" s="54">
        <f>SUM(AP11:AP14)</f>
        <v>0</v>
      </c>
      <c r="AQ10" s="54">
        <f>SUM(AQ11:AQ14)</f>
        <v>0</v>
      </c>
      <c r="AR10" s="42">
        <f t="shared" si="36"/>
        <v>0</v>
      </c>
      <c r="AS10" s="54">
        <f>SUM(AS11:AS14)</f>
        <v>0</v>
      </c>
      <c r="AT10" s="54">
        <f>SUM(AT11:AT14)</f>
        <v>0</v>
      </c>
      <c r="AU10" s="41">
        <f t="shared" si="7"/>
        <v>0</v>
      </c>
      <c r="AV10" s="54">
        <f>SUM(AV11:AV14)</f>
        <v>0</v>
      </c>
      <c r="AW10" s="54">
        <f>SUM(AW11:AW14)</f>
        <v>0</v>
      </c>
      <c r="AX10" s="42">
        <f t="shared" si="38"/>
        <v>7</v>
      </c>
      <c r="AY10" s="54">
        <f>SUM(AY11:AY14)</f>
        <v>7</v>
      </c>
      <c r="AZ10" s="54">
        <f>SUM(AZ11:AZ14)</f>
        <v>0</v>
      </c>
      <c r="BA10" s="41">
        <f t="shared" si="8"/>
        <v>0</v>
      </c>
      <c r="BB10" s="54">
        <f>SUM(BB11:BB14)</f>
        <v>0</v>
      </c>
      <c r="BC10" s="55">
        <f>SUM(BC11:BC14)</f>
        <v>36.299999999999997</v>
      </c>
      <c r="BD10" s="57">
        <f t="shared" si="40"/>
        <v>4</v>
      </c>
      <c r="BE10" s="58">
        <f t="shared" si="41"/>
        <v>4</v>
      </c>
      <c r="BF10" s="58">
        <f t="shared" si="41"/>
        <v>0</v>
      </c>
      <c r="BG10" s="59">
        <f t="shared" si="9"/>
        <v>0</v>
      </c>
      <c r="BH10" s="54">
        <f>BN10+CL10+CR10</f>
        <v>0</v>
      </c>
      <c r="BI10" s="55">
        <f>BO10+CM10+CS10</f>
        <v>13</v>
      </c>
      <c r="BJ10" s="57">
        <f t="shared" si="42"/>
        <v>0</v>
      </c>
      <c r="BK10" s="54">
        <f t="shared" si="43"/>
        <v>0</v>
      </c>
      <c r="BL10" s="54">
        <f t="shared" si="43"/>
        <v>0</v>
      </c>
      <c r="BM10" s="59">
        <f t="shared" si="10"/>
        <v>0</v>
      </c>
      <c r="BN10" s="54">
        <f t="shared" ref="BN10:BO25" si="65">BT10+BZ10+CF10</f>
        <v>0</v>
      </c>
      <c r="BO10" s="54">
        <f t="shared" si="65"/>
        <v>0</v>
      </c>
      <c r="BP10" s="54">
        <f t="shared" si="44"/>
        <v>0</v>
      </c>
      <c r="BQ10" s="54">
        <f>SUM(BQ11:BQ14)</f>
        <v>0</v>
      </c>
      <c r="BR10" s="54">
        <f>SUM(BR11:BR14)</f>
        <v>0</v>
      </c>
      <c r="BS10" s="59">
        <f t="shared" si="11"/>
        <v>0</v>
      </c>
      <c r="BT10" s="54">
        <f>SUM(BT11:BT14)</f>
        <v>0</v>
      </c>
      <c r="BU10" s="54">
        <f>SUM(BU11:BU14)</f>
        <v>0</v>
      </c>
      <c r="BV10" s="54">
        <f t="shared" si="46"/>
        <v>0</v>
      </c>
      <c r="BW10" s="54">
        <f>SUM(BW11:BW14)</f>
        <v>0</v>
      </c>
      <c r="BX10" s="54">
        <f>SUM(BX11:BX14)</f>
        <v>0</v>
      </c>
      <c r="BY10" s="41">
        <f t="shared" si="12"/>
        <v>0</v>
      </c>
      <c r="BZ10" s="54">
        <f>SUM(BZ11:BZ14)</f>
        <v>0</v>
      </c>
      <c r="CA10" s="54">
        <f>SUM(CA11:CA14)</f>
        <v>0</v>
      </c>
      <c r="CB10" s="42">
        <f t="shared" si="48"/>
        <v>0</v>
      </c>
      <c r="CC10" s="54">
        <f>SUM(CC11:CC14)</f>
        <v>0</v>
      </c>
      <c r="CD10" s="54">
        <f>SUM(CD11:CD14)</f>
        <v>0</v>
      </c>
      <c r="CE10" s="41">
        <f t="shared" si="13"/>
        <v>0</v>
      </c>
      <c r="CF10" s="54">
        <f>SUM(CF11:CF14)</f>
        <v>0</v>
      </c>
      <c r="CG10" s="54">
        <f>SUM(CG11:CG14)</f>
        <v>0</v>
      </c>
      <c r="CH10" s="30">
        <f t="shared" si="50"/>
        <v>4</v>
      </c>
      <c r="CI10" s="54">
        <f>SUM(CI11:CI14)</f>
        <v>4</v>
      </c>
      <c r="CJ10" s="54">
        <f>SUM(CJ11:CJ14)</f>
        <v>0</v>
      </c>
      <c r="CK10" s="41">
        <f t="shared" si="14"/>
        <v>0</v>
      </c>
      <c r="CL10" s="54">
        <f>SUM(CL11:CL14)</f>
        <v>0</v>
      </c>
      <c r="CM10" s="54">
        <f>SUM(CM11:CM14)</f>
        <v>13</v>
      </c>
      <c r="CN10" s="43">
        <f t="shared" si="52"/>
        <v>0</v>
      </c>
      <c r="CO10" s="54">
        <f>SUM(CO11:CO14)</f>
        <v>0</v>
      </c>
      <c r="CP10" s="54">
        <f>SUM(CP11:CP14)</f>
        <v>0</v>
      </c>
      <c r="CQ10" s="41">
        <f t="shared" si="15"/>
        <v>0</v>
      </c>
      <c r="CR10" s="54">
        <f>SUM(CR11:CR14)</f>
        <v>0</v>
      </c>
      <c r="CS10" s="55">
        <f>SUM(CS11:CS14)</f>
        <v>0</v>
      </c>
      <c r="CT10" s="44">
        <f t="shared" si="54"/>
        <v>0</v>
      </c>
      <c r="CU10" s="54">
        <f>SUM(CU11:CU14)</f>
        <v>0</v>
      </c>
      <c r="CV10" s="54">
        <f>SUM(CV11:CV14)</f>
        <v>0</v>
      </c>
      <c r="CW10" s="41">
        <f t="shared" si="16"/>
        <v>0</v>
      </c>
      <c r="CX10" s="54">
        <f>SUM(CX11:CX14)</f>
        <v>0</v>
      </c>
      <c r="CY10" s="55">
        <f>SUM(CY11:CY14)</f>
        <v>0</v>
      </c>
      <c r="DB10" s="60">
        <f t="shared" si="17"/>
        <v>7</v>
      </c>
      <c r="DC10" s="61">
        <f>SUM(DC11:DC14)</f>
        <v>7</v>
      </c>
      <c r="DD10" s="61">
        <f>SUM(DD11:DD14)</f>
        <v>0</v>
      </c>
      <c r="DE10" s="62">
        <f>IFERROR(DD10/DC10*100,0)</f>
        <v>0</v>
      </c>
      <c r="DF10" s="63">
        <f>SUM(DF11:DF14)</f>
        <v>0</v>
      </c>
      <c r="DG10" s="64">
        <f>SUM(DG11:DG14)</f>
        <v>36.299999999999997</v>
      </c>
      <c r="DH10" s="65">
        <f>DI10+DL10</f>
        <v>0</v>
      </c>
      <c r="DI10" s="63">
        <f>SUM(DI11:DI14)</f>
        <v>0</v>
      </c>
      <c r="DJ10" s="63">
        <f>SUM(DJ11:DJ14)</f>
        <v>0</v>
      </c>
      <c r="DK10" s="66">
        <f t="shared" si="18"/>
        <v>0</v>
      </c>
      <c r="DL10" s="63"/>
      <c r="DM10" s="64">
        <f>SUM(DM11:DM14)</f>
        <v>0</v>
      </c>
      <c r="DN10" s="65">
        <f>DO10+DR10</f>
        <v>0</v>
      </c>
      <c r="DO10" s="63">
        <f>SUM(DO11:DO14)</f>
        <v>0</v>
      </c>
      <c r="DP10" s="63">
        <f>SUM(DP11:DP14)</f>
        <v>0</v>
      </c>
      <c r="DQ10" s="66">
        <f t="shared" si="19"/>
        <v>0</v>
      </c>
      <c r="DR10" s="63"/>
      <c r="DS10" s="64">
        <f>SUM(DS11:DS14)</f>
        <v>0</v>
      </c>
      <c r="DT10" s="65">
        <f>DU10+DX10</f>
        <v>7</v>
      </c>
      <c r="DU10" s="63">
        <f>SUM(DU11:DU14)</f>
        <v>7</v>
      </c>
      <c r="DV10" s="63">
        <f>SUM(DV11:DV14)</f>
        <v>0</v>
      </c>
      <c r="DW10" s="66">
        <f t="shared" si="20"/>
        <v>0</v>
      </c>
      <c r="DX10" s="63"/>
      <c r="DY10" s="64">
        <f>SUM(DY11:DY14)</f>
        <v>36.299999999999997</v>
      </c>
    </row>
    <row r="11" spans="1:129" s="45" customFormat="1" ht="15.75" customHeight="1" x14ac:dyDescent="0.25">
      <c r="A11" s="28" t="s">
        <v>172</v>
      </c>
      <c r="B11" s="29">
        <f t="shared" si="21"/>
        <v>2</v>
      </c>
      <c r="C11" s="30">
        <f t="shared" si="22"/>
        <v>2</v>
      </c>
      <c r="D11" s="30">
        <f t="shared" si="22"/>
        <v>0</v>
      </c>
      <c r="E11" s="31">
        <f t="shared" si="0"/>
        <v>0</v>
      </c>
      <c r="F11" s="29">
        <f t="shared" si="23"/>
        <v>0</v>
      </c>
      <c r="G11" s="32">
        <f t="shared" si="23"/>
        <v>3</v>
      </c>
      <c r="H11" s="33">
        <f t="shared" si="24"/>
        <v>0</v>
      </c>
      <c r="I11" s="34">
        <f t="shared" si="25"/>
        <v>0</v>
      </c>
      <c r="J11" s="34">
        <f t="shared" si="25"/>
        <v>0</v>
      </c>
      <c r="K11" s="35">
        <f t="shared" si="1"/>
        <v>0</v>
      </c>
      <c r="L11" s="29">
        <f t="shared" si="63"/>
        <v>0</v>
      </c>
      <c r="M11" s="32">
        <f t="shared" si="63"/>
        <v>0</v>
      </c>
      <c r="N11" s="33">
        <f t="shared" si="26"/>
        <v>0</v>
      </c>
      <c r="O11" s="29">
        <f>COUNTIFS('2026'!$J$8:$J$185,"&lt;3",'2026'!$K$8:$K$185,"2026",'2026'!$R$8:$R$185,"республика")</f>
        <v>0</v>
      </c>
      <c r="P11" s="29">
        <f>COUNTIFS('2026'!$J$8:$J$185,"&lt;3",'2026'!$K$8:$K$185,"2026",'2026'!$R$8:$R$185,"республика",'2026'!$Q$8:$Q$185,"снесен")</f>
        <v>0</v>
      </c>
      <c r="Q11" s="36">
        <f t="shared" si="2"/>
        <v>0</v>
      </c>
      <c r="R11" s="29"/>
      <c r="S11" s="29">
        <f>SUMIFS('2026'!$N$8:$N$185,'2026'!$K$8:$K$185,"2026",'2026'!$J$8:$J$185,"&lt;3",'2026'!$R$8:$R$185,"республика")</f>
        <v>0</v>
      </c>
      <c r="T11" s="29">
        <f t="shared" si="28"/>
        <v>0</v>
      </c>
      <c r="U11" s="29">
        <f>COUNTIFS('2026'!$J$8:$J$185,"&lt;3",'2026'!$K$8:$K$185,"2026",'2026'!$R$8:$R$185,"область")</f>
        <v>0</v>
      </c>
      <c r="V11" s="29">
        <f>COUNTIFS('2026'!$J$8:$J$185,"&lt;3",'2026'!$K$8:$K$185,"2026",'2026'!$R$8:$R$185,"область",'2026'!$Q$8:$Q$185,"снесен")</f>
        <v>0</v>
      </c>
      <c r="W11" s="36">
        <f t="shared" si="3"/>
        <v>0</v>
      </c>
      <c r="X11" s="29"/>
      <c r="Y11" s="29">
        <f>SUMIFS('2026'!$N$8:$N$185,'2026'!$K$8:$K$185,"2026",'2026'!$J$8:$J$185,"&lt;3",'2026'!$R$8:$R$185,"область")</f>
        <v>0</v>
      </c>
      <c r="Z11" s="29">
        <f t="shared" si="30"/>
        <v>0</v>
      </c>
      <c r="AA11" s="29">
        <f>COUNTIFS('2026'!$J$8:$J$185,"&lt;3",'2026'!$K$8:$K$185,"2026",'2026'!$R$8:$R$185,"район")</f>
        <v>0</v>
      </c>
      <c r="AB11" s="29">
        <f>COUNTIFS('2026'!$J$8:$J$185,"&lt;3",'2026'!$K$8:$K$185,"2026",'2026'!$R$8:$R$185,"район",'2026'!$Q$8:$Q$185,"снесен")</f>
        <v>0</v>
      </c>
      <c r="AC11" s="36">
        <f t="shared" si="4"/>
        <v>0</v>
      </c>
      <c r="AD11" s="29"/>
      <c r="AE11" s="32">
        <f>SUMIFS('2026'!$N$8:$N$185,'2026'!$K$8:$K$185,"2026",'2026'!$J$8:$J$185,"&lt;3",'2026'!$R$8:$R$185,"район")</f>
        <v>0</v>
      </c>
      <c r="AF11" s="37">
        <f t="shared" si="32"/>
        <v>0</v>
      </c>
      <c r="AG11" s="38">
        <f t="shared" si="33"/>
        <v>0</v>
      </c>
      <c r="AH11" s="38">
        <f t="shared" si="33"/>
        <v>0</v>
      </c>
      <c r="AI11" s="39">
        <f t="shared" si="5"/>
        <v>0</v>
      </c>
      <c r="AJ11" s="29">
        <f t="shared" si="64"/>
        <v>0</v>
      </c>
      <c r="AK11" s="32">
        <f t="shared" si="64"/>
        <v>0</v>
      </c>
      <c r="AL11" s="37">
        <f t="shared" si="34"/>
        <v>0</v>
      </c>
      <c r="AM11" s="29">
        <f>COUNTIFS('2026'!$J$8:$J$185,"&lt;3",'2026'!$K$8:$K$185,"2026",'2026'!$R$8:$R$185,"республика50б")</f>
        <v>0</v>
      </c>
      <c r="AN11" s="29">
        <f>COUNTIFS('2026'!$J$8:$J$185,"&lt;3",'2026'!$K$8:$K$185,"2026",'2026'!$R$8:$R$185,"республика50б",'2026'!$Q$8:$Q$185,"снесен")</f>
        <v>0</v>
      </c>
      <c r="AO11" s="36">
        <f t="shared" si="6"/>
        <v>0</v>
      </c>
      <c r="AP11" s="29"/>
      <c r="AQ11" s="29">
        <f>SUMIFS('2026'!$N$8:$N$185,'2026'!$K$8:$K$185,"2026",'2026'!$J$8:$J$185,"&lt;3",'2026'!$R$8:$R$185,"республика50б")</f>
        <v>0</v>
      </c>
      <c r="AR11" s="29">
        <f t="shared" si="36"/>
        <v>0</v>
      </c>
      <c r="AS11" s="29">
        <f>COUNTIFS('2026'!$J$8:$J$185,"&lt;3",'2026'!$K$8:$K$185,"2026",'2026'!$R$8:$R$185,"область50б")</f>
        <v>0</v>
      </c>
      <c r="AT11" s="29">
        <f>COUNTIFS('2026'!$J$8:$J$185,"&lt;3",'2026'!$K$8:$K$185,"2026",'2026'!$R$8:$R$185,"область50б",'2026'!$Q$8:$Q$185,"снесен")</f>
        <v>0</v>
      </c>
      <c r="AU11" s="36">
        <f t="shared" si="7"/>
        <v>0</v>
      </c>
      <c r="AV11" s="29"/>
      <c r="AW11" s="29">
        <f>SUMIFS('2026'!$N$8:$N$185,'2026'!$K$8:$K$185,"2026",'2026'!$J$8:$J$185,"&lt;3",'2026'!$R$8:$R$185,"область50б")</f>
        <v>0</v>
      </c>
      <c r="AX11" s="29">
        <f t="shared" si="38"/>
        <v>0</v>
      </c>
      <c r="AY11" s="29">
        <f>COUNTIFS('2026'!$J$8:$J$185,"&lt;3",'2026'!$K$8:$K$185,"2026",'2026'!$R$8:$R$185,"район50б")</f>
        <v>0</v>
      </c>
      <c r="AZ11" s="29">
        <f>COUNTIFS('2026'!$J$8:$J$185,"&lt;3",'2026'!$K$8:$K$185,"2026",'2026'!$R$8:$R$185,"район50б",'2026'!$Q$8:$Q$185,"снесен")</f>
        <v>0</v>
      </c>
      <c r="BA11" s="36">
        <f t="shared" si="8"/>
        <v>0</v>
      </c>
      <c r="BB11" s="29"/>
      <c r="BC11" s="32">
        <f>SUMIFS('2026'!$N$8:$N$185,'2026'!$K$8:$K$185,"2026",'2026'!$J$8:$J$185,"&lt;3",'2026'!$R$8:$R$185,"район50б")</f>
        <v>0</v>
      </c>
      <c r="BD11" s="37">
        <f t="shared" si="40"/>
        <v>2</v>
      </c>
      <c r="BE11" s="40">
        <f t="shared" si="41"/>
        <v>2</v>
      </c>
      <c r="BF11" s="40">
        <f t="shared" si="41"/>
        <v>0</v>
      </c>
      <c r="BG11" s="41">
        <f t="shared" si="9"/>
        <v>0</v>
      </c>
      <c r="BH11" s="29"/>
      <c r="BI11" s="32">
        <f t="shared" ref="BI11:BI34" si="66">BO11+CM11+CS11</f>
        <v>3</v>
      </c>
      <c r="BJ11" s="37">
        <f t="shared" si="42"/>
        <v>0</v>
      </c>
      <c r="BK11" s="42">
        <f t="shared" si="43"/>
        <v>0</v>
      </c>
      <c r="BL11" s="42">
        <f t="shared" si="43"/>
        <v>0</v>
      </c>
      <c r="BM11" s="41">
        <f t="shared" si="10"/>
        <v>0</v>
      </c>
      <c r="BN11" s="29">
        <f t="shared" si="65"/>
        <v>0</v>
      </c>
      <c r="BO11" s="29">
        <f t="shared" si="65"/>
        <v>0</v>
      </c>
      <c r="BP11" s="29">
        <f t="shared" si="44"/>
        <v>0</v>
      </c>
      <c r="BQ11" s="29">
        <f>COUNTIFS('2026'!$J$8:$J$185,"&lt;3",'2026'!$K$8:$K$185,"2026",'2026'!$R$8:$R$185,"республика50м")</f>
        <v>0</v>
      </c>
      <c r="BR11" s="29">
        <f>COUNTIFS('2026'!$J$8:$J$185,"&lt;3",'2026'!$K$8:$K$185,"2026",'2026'!$R$8:$R$185,"республика50м",'2026'!$Q$8:$Q$185,"снесен")</f>
        <v>0</v>
      </c>
      <c r="BS11" s="36">
        <f t="shared" si="11"/>
        <v>0</v>
      </c>
      <c r="BT11" s="29"/>
      <c r="BU11" s="29">
        <f>SUMIFS('2026'!$N$8:$N$185,'2026'!$K$8:$K$185,"2026",'2026'!$J$8:$J$185,"&lt;3",'2026'!$R$8:$R$185,"республика50м")</f>
        <v>0</v>
      </c>
      <c r="BV11" s="29">
        <f t="shared" si="46"/>
        <v>0</v>
      </c>
      <c r="BW11" s="29">
        <f>COUNTIFS('2026'!$J$8:$J$185,"&lt;3",'2026'!$K$8:$K$185,"2026",'2026'!$R$8:$R$185,"область50м")</f>
        <v>0</v>
      </c>
      <c r="BX11" s="29">
        <f>COUNTIFS('2026'!$J$8:$J$185,"&lt;3",'2026'!$K$8:$K$185,"2026",'2026'!$R$8:$R$185,"область50м",'2026'!$Q$8:$Q$185,"снесен")</f>
        <v>0</v>
      </c>
      <c r="BY11" s="36">
        <f t="shared" si="12"/>
        <v>0</v>
      </c>
      <c r="BZ11" s="29"/>
      <c r="CA11" s="29">
        <f>SUMIFS('2026'!$N$8:$N$185,'2026'!$K$8:$K$185,"2026",'2026'!$J$8:$J$185,"&lt;3",'2026'!$R$8:$R$185,"область50м")</f>
        <v>0</v>
      </c>
      <c r="CB11" s="29">
        <f t="shared" si="48"/>
        <v>0</v>
      </c>
      <c r="CC11" s="29">
        <f>COUNTIFS('2026'!$J$8:$J$185,"&lt;3",'2026'!$K$8:$K$185,"2026",'2026'!$R$8:$R$185,"район50м")</f>
        <v>0</v>
      </c>
      <c r="CD11" s="29">
        <f>COUNTIFS('2026'!$J$8:$J$185,"&lt;3",'2026'!$K$8:$K$185,"2026",'2026'!$R$8:$R$185,"район50м",'2026'!$Q$8:$Q$185,"снесен")</f>
        <v>0</v>
      </c>
      <c r="CE11" s="36">
        <f t="shared" si="13"/>
        <v>0</v>
      </c>
      <c r="CF11" s="29"/>
      <c r="CG11" s="29">
        <f>SUMIFS('2026'!$N$8:$N$185,'2026'!$K$8:$K$185,"2026",'2026'!$J$8:$J$185,"&lt;3",'2026'!$R$8:$R$185,"район50м")</f>
        <v>0</v>
      </c>
      <c r="CH11" s="30">
        <f t="shared" si="50"/>
        <v>2</v>
      </c>
      <c r="CI11" s="29">
        <f>COUNTIFS('2026'!$J$8:$J$185,"&lt;3",'2026'!$K$8:$K$185,"2026",'2026'!$R$8:$R$185,"райпо")</f>
        <v>2</v>
      </c>
      <c r="CJ11" s="29">
        <f>COUNTIFS('2026'!$J$8:$J$185,"&lt;3",'2026'!$K$8:$K$185,"2026",'2026'!$R$8:$R$185,"райпо",'2026'!$Q$8:$Q$185,"снесен")</f>
        <v>0</v>
      </c>
      <c r="CK11" s="36">
        <f t="shared" si="14"/>
        <v>0</v>
      </c>
      <c r="CL11" s="29"/>
      <c r="CM11" s="29">
        <f>SUMIFS('2026'!$N$8:$N$185,'2026'!$K$8:$K$185,"2026",'2026'!$J$8:$J$185,"&lt;3",'2026'!$R$8:$R$185,"райпо")</f>
        <v>3</v>
      </c>
      <c r="CN11" s="43">
        <f t="shared" si="52"/>
        <v>0</v>
      </c>
      <c r="CO11" s="29">
        <f>COUNTIFS('2026'!$J$8:$J$185,"&lt;3",'2026'!$K$8:$K$185,"2026",'2026'!$R$8:$R$185,"инаяч")</f>
        <v>0</v>
      </c>
      <c r="CP11" s="29">
        <f>COUNTIFS('2026'!$J$8:$J$185,"&lt;3",'2026'!$K$8:$K$185,"2026",'2026'!$R$8:$R$185,"инаяч",'2026'!$Q$8:$Q$185,"снесен")</f>
        <v>0</v>
      </c>
      <c r="CQ11" s="36">
        <f t="shared" si="15"/>
        <v>0</v>
      </c>
      <c r="CR11" s="29"/>
      <c r="CS11" s="32">
        <f>SUMIFS('2026'!$N$8:$N$185,'2026'!$K$8:$K$185,"2026",'2026'!$J$8:$J$185,"&lt;3",'2026'!$R$8:$R$185,"инаяч")</f>
        <v>0</v>
      </c>
      <c r="CT11" s="44">
        <f t="shared" si="54"/>
        <v>0</v>
      </c>
      <c r="CU11" s="29">
        <f>COUNTIFS('2026'!$J$8:$J$185,"&lt;3",'2026'!$K$8:$K$185,"2026",'2026'!$R$8:$R$185,"бесхозяйное")</f>
        <v>0</v>
      </c>
      <c r="CV11" s="29">
        <f>COUNTIFS('2026'!$J$8:$J$185,"&lt;3",'2026'!$K$8:$K$185,"2026",'2026'!$R$8:$R$185,"бесхозяйное",'2026'!$Q$8:$Q$185,"снесен")</f>
        <v>0</v>
      </c>
      <c r="CW11" s="36">
        <f t="shared" si="16"/>
        <v>0</v>
      </c>
      <c r="CX11" s="29"/>
      <c r="CY11" s="32">
        <f>SUMIFS('2026'!$N$8:$N$185,'2026'!$K$8:$K$185,"2026",'2026'!$J$8:$J$185,"&lt;3",'2026'!$R$8:$R$185,"бесхозяйное")</f>
        <v>0</v>
      </c>
      <c r="DB11" s="46">
        <f t="shared" si="17"/>
        <v>0</v>
      </c>
      <c r="DC11" s="38">
        <f t="shared" ref="DC11:DD14" si="67">DI11+DO11+DU11</f>
        <v>0</v>
      </c>
      <c r="DD11" s="38">
        <f t="shared" si="67"/>
        <v>0</v>
      </c>
      <c r="DE11" s="39">
        <f t="shared" ref="DE11:DE29" si="68">IFERROR(DD11/DC11*100,0)</f>
        <v>0</v>
      </c>
      <c r="DF11" s="47">
        <f t="shared" ref="DF11:DG14" si="69">DL11+DR11+DX11</f>
        <v>0</v>
      </c>
      <c r="DG11" s="48">
        <f t="shared" si="69"/>
        <v>0</v>
      </c>
      <c r="DH11" s="49">
        <f t="shared" ref="DH11:DJ14" si="70">AL11+BP11</f>
        <v>0</v>
      </c>
      <c r="DI11" s="47">
        <f t="shared" si="70"/>
        <v>0</v>
      </c>
      <c r="DJ11" s="47">
        <f t="shared" si="70"/>
        <v>0</v>
      </c>
      <c r="DK11" s="50">
        <f t="shared" si="18"/>
        <v>0</v>
      </c>
      <c r="DL11" s="47"/>
      <c r="DM11" s="48">
        <f t="shared" ref="DM11:DP14" si="71">AQ11+BU11</f>
        <v>0</v>
      </c>
      <c r="DN11" s="49">
        <f t="shared" si="71"/>
        <v>0</v>
      </c>
      <c r="DO11" s="47">
        <f t="shared" si="71"/>
        <v>0</v>
      </c>
      <c r="DP11" s="47">
        <f t="shared" si="71"/>
        <v>0</v>
      </c>
      <c r="DQ11" s="50">
        <f t="shared" si="19"/>
        <v>0</v>
      </c>
      <c r="DR11" s="47"/>
      <c r="DS11" s="48">
        <f t="shared" ref="DS11:DV14" si="72">AW11+CA11</f>
        <v>0</v>
      </c>
      <c r="DT11" s="49">
        <f t="shared" si="72"/>
        <v>0</v>
      </c>
      <c r="DU11" s="47">
        <f t="shared" si="72"/>
        <v>0</v>
      </c>
      <c r="DV11" s="47">
        <f t="shared" si="72"/>
        <v>0</v>
      </c>
      <c r="DW11" s="50">
        <f t="shared" si="20"/>
        <v>0</v>
      </c>
      <c r="DX11" s="47"/>
      <c r="DY11" s="48">
        <f>BC11+CG11</f>
        <v>0</v>
      </c>
    </row>
    <row r="12" spans="1:129" s="45" customFormat="1" ht="15.75" customHeight="1" x14ac:dyDescent="0.25">
      <c r="A12" s="28" t="s">
        <v>173</v>
      </c>
      <c r="B12" s="29">
        <f t="shared" si="21"/>
        <v>8</v>
      </c>
      <c r="C12" s="30">
        <f t="shared" si="22"/>
        <v>8</v>
      </c>
      <c r="D12" s="30">
        <f t="shared" si="22"/>
        <v>0</v>
      </c>
      <c r="E12" s="31">
        <f t="shared" si="0"/>
        <v>0</v>
      </c>
      <c r="F12" s="29">
        <f t="shared" si="23"/>
        <v>0</v>
      </c>
      <c r="G12" s="32">
        <f t="shared" si="23"/>
        <v>51.900000000000006</v>
      </c>
      <c r="H12" s="33">
        <f t="shared" si="24"/>
        <v>2</v>
      </c>
      <c r="I12" s="34">
        <f t="shared" si="25"/>
        <v>2</v>
      </c>
      <c r="J12" s="34">
        <f t="shared" si="25"/>
        <v>0</v>
      </c>
      <c r="K12" s="35">
        <f t="shared" si="1"/>
        <v>0</v>
      </c>
      <c r="L12" s="29">
        <f t="shared" si="63"/>
        <v>0</v>
      </c>
      <c r="M12" s="32">
        <f t="shared" si="63"/>
        <v>22.1</v>
      </c>
      <c r="N12" s="33">
        <f t="shared" si="26"/>
        <v>0</v>
      </c>
      <c r="O12" s="29">
        <f>COUNTIFS('2026'!$J$8:$J$185,"3",'2026'!$K$8:$K$185,"2026",'2026'!$R$8:$R$185,"республика")</f>
        <v>0</v>
      </c>
      <c r="P12" s="29">
        <f>COUNTIFS('2026'!$J$8:$J$185,"3",'2026'!$K$8:$K$185,"2026",'2026'!$R$8:$R$185,"республика",'2026'!$Q$8:$Q$185,"снесен")</f>
        <v>0</v>
      </c>
      <c r="Q12" s="36">
        <f t="shared" si="2"/>
        <v>0</v>
      </c>
      <c r="R12" s="29"/>
      <c r="S12" s="29">
        <f>SUMIFS('2026'!$N$8:$N$185,'2026'!$K$8:$K$185,"2026",'2026'!$J$8:$J$185,"3",'2026'!$R$8:$R$185,"республика")</f>
        <v>0</v>
      </c>
      <c r="T12" s="29">
        <f t="shared" si="28"/>
        <v>0</v>
      </c>
      <c r="U12" s="29">
        <f>COUNTIFS('2026'!$J$8:$J$185,"3",'2026'!$K$8:$K$185,"2026",'2026'!$R$8:$R$185,"область")</f>
        <v>0</v>
      </c>
      <c r="V12" s="29">
        <f>COUNTIFS('2026'!$J$8:$J$185,"3",'2026'!$K$8:$K$185,"2026",'2026'!$R$8:$R$185,"область",'2026'!$Q$8:$Q$185,"снесен")</f>
        <v>0</v>
      </c>
      <c r="W12" s="36">
        <f t="shared" si="3"/>
        <v>0</v>
      </c>
      <c r="X12" s="29"/>
      <c r="Y12" s="29">
        <f>SUMIFS('2026'!$N$8:$N$185,'2026'!$K$8:$K$185,"2026",'2026'!$J$8:$J$185,"3",'2026'!$R$8:$R$185,"область")</f>
        <v>0</v>
      </c>
      <c r="Z12" s="29">
        <f t="shared" si="30"/>
        <v>2</v>
      </c>
      <c r="AA12" s="29">
        <f>COUNTIFS('2026'!$J$8:$J$185,"3",'2026'!$K$8:$K$185,"2026",'2026'!$R$8:$R$185,"район")</f>
        <v>2</v>
      </c>
      <c r="AB12" s="29">
        <f>COUNTIFS('2026'!$J$8:$J$185,"3",'2026'!$K$8:$K$185,"2026",'2026'!$R$8:$R$185,"район",'2026'!$Q$8:$Q$185,"снесен")</f>
        <v>0</v>
      </c>
      <c r="AC12" s="36">
        <f t="shared" si="4"/>
        <v>0</v>
      </c>
      <c r="AD12" s="29"/>
      <c r="AE12" s="32">
        <f>SUMIFS('2026'!$N$8:$N$185,'2026'!$K$8:$K$185,"2026",'2026'!$J$8:$J$185,"3",'2026'!$R$8:$R$185,"район")</f>
        <v>22.1</v>
      </c>
      <c r="AF12" s="37">
        <f t="shared" si="32"/>
        <v>5</v>
      </c>
      <c r="AG12" s="38">
        <f t="shared" si="33"/>
        <v>5</v>
      </c>
      <c r="AH12" s="38">
        <f t="shared" si="33"/>
        <v>0</v>
      </c>
      <c r="AI12" s="39">
        <f t="shared" si="5"/>
        <v>0</v>
      </c>
      <c r="AJ12" s="29">
        <f t="shared" si="64"/>
        <v>0</v>
      </c>
      <c r="AK12" s="32">
        <f t="shared" si="64"/>
        <v>26.8</v>
      </c>
      <c r="AL12" s="37">
        <f t="shared" si="34"/>
        <v>0</v>
      </c>
      <c r="AM12" s="29">
        <f>COUNTIFS('2026'!$J$8:$J$185,"3",'2026'!$K$8:$K$185,"2026",'2026'!$R$8:$R$185,"республика50б")</f>
        <v>0</v>
      </c>
      <c r="AN12" s="29">
        <f>COUNTIFS('2026'!$J$8:$J$185,"3",'2026'!$K$8:$K$185,"2026",'2026'!$R$8:$R$185,"республика50б",'2026'!$Q$8:$Q$185,"снесен")</f>
        <v>0</v>
      </c>
      <c r="AO12" s="36">
        <f t="shared" si="6"/>
        <v>0</v>
      </c>
      <c r="AP12" s="29"/>
      <c r="AQ12" s="29">
        <f>SUMIFS('2026'!$N$8:$N$185,'2026'!$K$8:$K$185,"2026",'2026'!$J$8:$J$185,"3",'2026'!$R$8:$R$185,"республика50б")</f>
        <v>0</v>
      </c>
      <c r="AR12" s="29">
        <f t="shared" si="36"/>
        <v>0</v>
      </c>
      <c r="AS12" s="29">
        <f>COUNTIFS('2026'!$J$8:$J$185,"3",'2026'!$K$8:$K$185,"2026",'2026'!$R$8:$R$185,"область50б")</f>
        <v>0</v>
      </c>
      <c r="AT12" s="29">
        <f>COUNTIFS('2026'!$J$8:$J$185,"3",'2026'!$K$8:$K$185,"2026",'2026'!$R$8:$R$185,"область50б",'2026'!$Q$8:$Q$185,"снесен")</f>
        <v>0</v>
      </c>
      <c r="AU12" s="36">
        <f t="shared" si="7"/>
        <v>0</v>
      </c>
      <c r="AV12" s="29"/>
      <c r="AW12" s="29">
        <f>SUMIFS('2026'!$N$8:$N$185,'2026'!$K$8:$K$185,"2026",'2026'!$J$8:$J$185,"3",'2026'!$R$8:$R$185,"область50б")</f>
        <v>0</v>
      </c>
      <c r="AX12" s="29">
        <f t="shared" si="38"/>
        <v>5</v>
      </c>
      <c r="AY12" s="29">
        <f>COUNTIFS('2026'!$J$8:$J$185,"3",'2026'!$K$8:$K$185,"2026",'2026'!$R$8:$R$185,"район50б")</f>
        <v>5</v>
      </c>
      <c r="AZ12" s="29">
        <f>COUNTIFS('2026'!$J$8:$J$185,"3",'2026'!$K$8:$K$185,"2026",'2026'!$R$8:$R$185,"район50б",'2026'!$Q$8:$Q$185,"снесен")</f>
        <v>0</v>
      </c>
      <c r="BA12" s="36">
        <f t="shared" si="8"/>
        <v>0</v>
      </c>
      <c r="BB12" s="29"/>
      <c r="BC12" s="32">
        <f>SUMIFS('2026'!$N$8:$N$185,'2026'!$K$8:$K$185,"2026",'2026'!$J$8:$J$185,"3",'2026'!$R$8:$R$185,"район50б")</f>
        <v>26.8</v>
      </c>
      <c r="BD12" s="37">
        <f t="shared" si="40"/>
        <v>1</v>
      </c>
      <c r="BE12" s="40">
        <f t="shared" si="41"/>
        <v>1</v>
      </c>
      <c r="BF12" s="40">
        <f t="shared" si="41"/>
        <v>0</v>
      </c>
      <c r="BG12" s="41">
        <f t="shared" si="9"/>
        <v>0</v>
      </c>
      <c r="BH12" s="29"/>
      <c r="BI12" s="32">
        <f t="shared" si="66"/>
        <v>3</v>
      </c>
      <c r="BJ12" s="37">
        <f t="shared" si="42"/>
        <v>0</v>
      </c>
      <c r="BK12" s="42">
        <f t="shared" si="43"/>
        <v>0</v>
      </c>
      <c r="BL12" s="42">
        <f t="shared" si="43"/>
        <v>0</v>
      </c>
      <c r="BM12" s="41">
        <f t="shared" si="10"/>
        <v>0</v>
      </c>
      <c r="BN12" s="29">
        <f t="shared" si="65"/>
        <v>0</v>
      </c>
      <c r="BO12" s="29">
        <f t="shared" si="65"/>
        <v>0</v>
      </c>
      <c r="BP12" s="29">
        <f t="shared" si="44"/>
        <v>0</v>
      </c>
      <c r="BQ12" s="29">
        <f>COUNTIFS('2026'!$J$8:$J$185,"3",'2026'!$K$8:$K$185,"2026",'2026'!$R$8:$R$185,"республика50м")</f>
        <v>0</v>
      </c>
      <c r="BR12" s="29">
        <f>COUNTIFS('2026'!$J$8:$J$185,"3",'2026'!$K$8:$K$185,"2026",'2026'!$R$8:$R$185,"республика50м",'2026'!$Q$8:$Q$185,"снесен")</f>
        <v>0</v>
      </c>
      <c r="BS12" s="36">
        <f t="shared" si="11"/>
        <v>0</v>
      </c>
      <c r="BT12" s="29"/>
      <c r="BU12" s="29">
        <f>SUMIFS('2026'!$N$8:$N$185,'2026'!$K$8:$K$185,"2026",'2026'!$J$8:$J$185,"3",'2026'!$R$8:$R$185,"республика50м")</f>
        <v>0</v>
      </c>
      <c r="BV12" s="29">
        <f t="shared" si="46"/>
        <v>0</v>
      </c>
      <c r="BW12" s="29">
        <f>COUNTIFS('2026'!$J$8:$J$185,"3",'2026'!$K$8:$K$185,"2026",'2026'!$R$8:$R$185,"область50м")</f>
        <v>0</v>
      </c>
      <c r="BX12" s="29">
        <f>COUNTIFS('2026'!$J$8:$J$185,"3",'2026'!$K$8:$K$185,"2026",'2026'!$R$8:$R$185,"область50м",'2026'!$Q$8:$Q$185,"снесен")</f>
        <v>0</v>
      </c>
      <c r="BY12" s="36">
        <f t="shared" si="12"/>
        <v>0</v>
      </c>
      <c r="BZ12" s="29"/>
      <c r="CA12" s="29">
        <f>SUMIFS('2026'!$N$8:$N$185,'2026'!$K$8:$K$185,"2026",'2026'!$J$8:$J$185,"3",'2026'!$R$8:$R$185,"область50м")</f>
        <v>0</v>
      </c>
      <c r="CB12" s="29">
        <f t="shared" si="48"/>
        <v>0</v>
      </c>
      <c r="CC12" s="29">
        <f>COUNTIFS('2026'!$J$8:$J$185,"3",'2026'!$K$8:$K$185,"2026",'2026'!$R$8:$R$185,"район50м")</f>
        <v>0</v>
      </c>
      <c r="CD12" s="29">
        <f>COUNTIFS('2026'!$J$8:$J$185,"3",'2026'!$K$8:$K$185,"2026",'2026'!$R$8:$R$185,"район50м",'2026'!$Q$8:$Q$185,"снесен")</f>
        <v>0</v>
      </c>
      <c r="CE12" s="36">
        <f t="shared" si="13"/>
        <v>0</v>
      </c>
      <c r="CF12" s="29"/>
      <c r="CG12" s="29">
        <f>SUMIFS('2026'!$N$8:$N$185,'2026'!$K$8:$K$185,"2026",'2026'!$J$8:$J$185,"3",'2026'!$R$8:$R$185,"район50м")</f>
        <v>0</v>
      </c>
      <c r="CH12" s="30">
        <f t="shared" si="50"/>
        <v>1</v>
      </c>
      <c r="CI12" s="29">
        <f>COUNTIFS('2026'!$J$8:$J$185,"3",'2026'!$K$8:$K$185,"2026",'2026'!$R$8:$R$185,"райпо")</f>
        <v>1</v>
      </c>
      <c r="CJ12" s="29">
        <f>COUNTIFS('2026'!$J$8:$J$185,"3",'2026'!$K$8:$K$185,"2026",'2026'!$R$8:$R$185,"райпо",'2026'!$Q$8:$Q$185,"снесен")</f>
        <v>0</v>
      </c>
      <c r="CK12" s="36">
        <f t="shared" si="14"/>
        <v>0</v>
      </c>
      <c r="CL12" s="29"/>
      <c r="CM12" s="29">
        <f>SUMIFS('2026'!$N$8:$N$185,'2026'!$K$8:$K$185,"2026",'2026'!$J$8:$J$185,"3",'2026'!$R$8:$R$185,"райпо")</f>
        <v>3</v>
      </c>
      <c r="CN12" s="43">
        <f t="shared" si="52"/>
        <v>0</v>
      </c>
      <c r="CO12" s="29">
        <f>COUNTIFS('2026'!$J$8:$J$185,"3",'2026'!$K$8:$K$185,"2026",'2026'!$R$8:$R$185,"инаяч")</f>
        <v>0</v>
      </c>
      <c r="CP12" s="29">
        <f>COUNTIFS('2026'!$J$8:$J$185,"3",'2026'!$K$8:$K$185,"2026",'2026'!$R$8:$R$185,"инаяч",'2026'!$Q$8:$Q$185,"снесен")</f>
        <v>0</v>
      </c>
      <c r="CQ12" s="36">
        <f t="shared" si="15"/>
        <v>0</v>
      </c>
      <c r="CR12" s="29"/>
      <c r="CS12" s="32">
        <f>SUMIFS('2026'!$N$8:$N$185,'2026'!$K$8:$K$185,"2026",'2026'!$J$8:$J$185,"3",'2026'!$R$8:$R$185,"инаяч")</f>
        <v>0</v>
      </c>
      <c r="CT12" s="44">
        <f t="shared" si="54"/>
        <v>0</v>
      </c>
      <c r="CU12" s="29">
        <f>COUNTIFS('2026'!$J$8:$J$185,"3",'2026'!$K$8:$K$185,"2026",'2026'!$R$8:$R$185,"бесхозяйное")</f>
        <v>0</v>
      </c>
      <c r="CV12" s="29">
        <f>COUNTIFS('2026'!$J$8:$J$185,"3",'2026'!$K$8:$K$185,"2026",'2026'!$R$8:$R$185,"бесхозяйное",'2026'!$Q$8:$Q$185,"снесен")</f>
        <v>0</v>
      </c>
      <c r="CW12" s="36">
        <f t="shared" si="16"/>
        <v>0</v>
      </c>
      <c r="CX12" s="29"/>
      <c r="CY12" s="32">
        <f>SUMIFS('2026'!$N$8:$N$185,'2026'!$K$8:$K$185,"2026",'2026'!$J$8:$J$185,"3",'2026'!$R$8:$R$185,"бесхозяйное")</f>
        <v>0</v>
      </c>
      <c r="DB12" s="46">
        <f t="shared" si="17"/>
        <v>5</v>
      </c>
      <c r="DC12" s="38">
        <f t="shared" si="67"/>
        <v>5</v>
      </c>
      <c r="DD12" s="38">
        <f t="shared" si="67"/>
        <v>0</v>
      </c>
      <c r="DE12" s="39">
        <f t="shared" si="68"/>
        <v>0</v>
      </c>
      <c r="DF12" s="47">
        <f t="shared" si="69"/>
        <v>0</v>
      </c>
      <c r="DG12" s="48">
        <f t="shared" si="69"/>
        <v>26.8</v>
      </c>
      <c r="DH12" s="49">
        <f t="shared" si="70"/>
        <v>0</v>
      </c>
      <c r="DI12" s="47">
        <f t="shared" si="70"/>
        <v>0</v>
      </c>
      <c r="DJ12" s="47">
        <f t="shared" si="70"/>
        <v>0</v>
      </c>
      <c r="DK12" s="50">
        <f t="shared" si="18"/>
        <v>0</v>
      </c>
      <c r="DL12" s="47"/>
      <c r="DM12" s="48">
        <f t="shared" si="71"/>
        <v>0</v>
      </c>
      <c r="DN12" s="49">
        <f t="shared" si="71"/>
        <v>0</v>
      </c>
      <c r="DO12" s="47">
        <f t="shared" si="71"/>
        <v>0</v>
      </c>
      <c r="DP12" s="47">
        <f t="shared" si="71"/>
        <v>0</v>
      </c>
      <c r="DQ12" s="50">
        <f t="shared" si="19"/>
        <v>0</v>
      </c>
      <c r="DR12" s="47"/>
      <c r="DS12" s="48">
        <f t="shared" si="72"/>
        <v>0</v>
      </c>
      <c r="DT12" s="49">
        <f t="shared" si="72"/>
        <v>5</v>
      </c>
      <c r="DU12" s="47">
        <f t="shared" si="72"/>
        <v>5</v>
      </c>
      <c r="DV12" s="47">
        <f t="shared" si="72"/>
        <v>0</v>
      </c>
      <c r="DW12" s="50">
        <f t="shared" si="20"/>
        <v>0</v>
      </c>
      <c r="DX12" s="47"/>
      <c r="DY12" s="48">
        <f>BC12+CG12</f>
        <v>26.8</v>
      </c>
    </row>
    <row r="13" spans="1:129" s="45" customFormat="1" ht="15.75" customHeight="1" x14ac:dyDescent="0.25">
      <c r="A13" s="28" t="s">
        <v>174</v>
      </c>
      <c r="B13" s="29">
        <f t="shared" si="21"/>
        <v>3</v>
      </c>
      <c r="C13" s="30">
        <f t="shared" si="22"/>
        <v>3</v>
      </c>
      <c r="D13" s="30">
        <f t="shared" si="22"/>
        <v>0</v>
      </c>
      <c r="E13" s="31">
        <f t="shared" si="0"/>
        <v>0</v>
      </c>
      <c r="F13" s="29">
        <f t="shared" si="23"/>
        <v>0</v>
      </c>
      <c r="G13" s="32">
        <f t="shared" si="23"/>
        <v>16.5</v>
      </c>
      <c r="H13" s="33">
        <f t="shared" si="24"/>
        <v>0</v>
      </c>
      <c r="I13" s="34">
        <f t="shared" si="25"/>
        <v>0</v>
      </c>
      <c r="J13" s="34">
        <f t="shared" si="25"/>
        <v>0</v>
      </c>
      <c r="K13" s="35">
        <f t="shared" si="1"/>
        <v>0</v>
      </c>
      <c r="L13" s="29">
        <f t="shared" si="63"/>
        <v>0</v>
      </c>
      <c r="M13" s="32">
        <f t="shared" si="63"/>
        <v>0</v>
      </c>
      <c r="N13" s="33">
        <f t="shared" si="26"/>
        <v>0</v>
      </c>
      <c r="O13" s="29">
        <f>COUNTIFS('2026'!$J$8:$J$185,"4",'2026'!$K$8:$K$185,"2026",'2026'!$R$8:$R$185,"республика")</f>
        <v>0</v>
      </c>
      <c r="P13" s="29">
        <f>COUNTIFS('2026'!$J$8:$J$185,"4",'2026'!$K$8:$K$185,"2026",'2026'!$R$8:$R$185,"республика",'2026'!$Q$8:$Q$185,"снесен")</f>
        <v>0</v>
      </c>
      <c r="Q13" s="36">
        <f t="shared" si="2"/>
        <v>0</v>
      </c>
      <c r="R13" s="29"/>
      <c r="S13" s="29">
        <f>SUMIFS('2026'!$N$8:$N$185,'2026'!$K$8:$K$185,"2026",'2026'!$J$8:$J$185,"4",'2026'!$R$8:$R$185,"республика")</f>
        <v>0</v>
      </c>
      <c r="T13" s="29">
        <f t="shared" si="28"/>
        <v>0</v>
      </c>
      <c r="U13" s="29">
        <f>COUNTIFS('2026'!$J$8:$J$185,"4",'2026'!$K$8:$K$185,"2026",'2026'!$R$8:$R$185,"область")</f>
        <v>0</v>
      </c>
      <c r="V13" s="29">
        <f>COUNTIFS('2026'!$J$8:$J$185,"4",'2026'!$K$8:$K$185,"2026",'2026'!$R$8:$R$185,"область",'2026'!$Q$8:$Q$185,"снесен")</f>
        <v>0</v>
      </c>
      <c r="W13" s="36">
        <f t="shared" si="3"/>
        <v>0</v>
      </c>
      <c r="X13" s="29"/>
      <c r="Y13" s="29">
        <f>SUMIFS('2026'!$N$8:$N$185,'2026'!$K$8:$K$185,"2026",'2026'!$J$8:$J$185,"4",'2026'!$R$8:$R$185,"область")</f>
        <v>0</v>
      </c>
      <c r="Z13" s="29">
        <f t="shared" si="30"/>
        <v>0</v>
      </c>
      <c r="AA13" s="29">
        <f>COUNTIFS('2026'!$J$8:$J$185,"4",'2026'!$K$8:$K$185,"2026",'2026'!$R$8:$R$185,"район")</f>
        <v>0</v>
      </c>
      <c r="AB13" s="29">
        <f>COUNTIFS('2026'!$J$8:$J$185,"4",'2026'!$K$8:$K$185,"2026",'2026'!$R$8:$R$185,"район",'2026'!$Q$8:$Q$185,"снесен")</f>
        <v>0</v>
      </c>
      <c r="AC13" s="36">
        <f t="shared" si="4"/>
        <v>0</v>
      </c>
      <c r="AD13" s="29"/>
      <c r="AE13" s="32">
        <f>SUMIFS('2026'!$N$8:$N$185,'2026'!$K$8:$K$185,"2026",'2026'!$J$8:$J$185,"4",'2026'!$R$8:$R$185,"район")</f>
        <v>0</v>
      </c>
      <c r="AF13" s="37">
        <f t="shared" si="32"/>
        <v>2</v>
      </c>
      <c r="AG13" s="38">
        <f t="shared" si="33"/>
        <v>2</v>
      </c>
      <c r="AH13" s="38">
        <f t="shared" si="33"/>
        <v>0</v>
      </c>
      <c r="AI13" s="39">
        <f t="shared" si="5"/>
        <v>0</v>
      </c>
      <c r="AJ13" s="29">
        <f t="shared" si="64"/>
        <v>0</v>
      </c>
      <c r="AK13" s="32">
        <f t="shared" si="64"/>
        <v>9.5</v>
      </c>
      <c r="AL13" s="37">
        <f t="shared" si="34"/>
        <v>0</v>
      </c>
      <c r="AM13" s="29">
        <f>COUNTIFS('2026'!$J$8:$J$185,"4",'2026'!$K$8:$K$185,"2026",'2026'!$R$8:$R$185,"республика50б")</f>
        <v>0</v>
      </c>
      <c r="AN13" s="29">
        <f>COUNTIFS('2026'!$J$8:$J$185,"4",'2026'!$K$8:$K$185,"2026",'2026'!$R$8:$R$185,"республика50б",'2026'!$Q$8:$Q$185,"снесен")</f>
        <v>0</v>
      </c>
      <c r="AO13" s="36">
        <f t="shared" si="6"/>
        <v>0</v>
      </c>
      <c r="AP13" s="29"/>
      <c r="AQ13" s="29">
        <f>SUMIFS('2026'!$N$8:$N$185,'2026'!$K$8:$K$185,"2026",'2026'!$J$8:$J$185,"4",'2026'!$R$8:$R$185,"республика50б")</f>
        <v>0</v>
      </c>
      <c r="AR13" s="29">
        <f t="shared" si="36"/>
        <v>0</v>
      </c>
      <c r="AS13" s="29">
        <f>COUNTIFS('2026'!$J$8:$J$185,"4",'2026'!$K$8:$K$185,"2026",'2026'!$R$8:$R$185,"область50б")</f>
        <v>0</v>
      </c>
      <c r="AT13" s="29">
        <f>COUNTIFS('2026'!$J$8:$J$185,"4",'2026'!$K$8:$K$185,"2026",'2026'!$R$8:$R$185,"область50б",'2026'!$Q$8:$Q$185,"снесен")</f>
        <v>0</v>
      </c>
      <c r="AU13" s="36">
        <f t="shared" si="7"/>
        <v>0</v>
      </c>
      <c r="AV13" s="29"/>
      <c r="AW13" s="29">
        <f>SUMIFS('2026'!$N$8:$N$185,'2026'!$K$8:$K$185,"2026",'2026'!$J$8:$J$185,"4",'2026'!$R$8:$R$185,"область50б")</f>
        <v>0</v>
      </c>
      <c r="AX13" s="29">
        <f t="shared" si="38"/>
        <v>2</v>
      </c>
      <c r="AY13" s="29">
        <f>COUNTIFS('2026'!$J$8:$J$185,"4",'2026'!$K$8:$K$185,"2026",'2026'!$R$8:$R$185,"район50б")</f>
        <v>2</v>
      </c>
      <c r="AZ13" s="29">
        <f>COUNTIFS('2026'!$J$8:$J$185,"4",'2026'!$K$8:$K$185,"2026",'2026'!$R$8:$R$185,"район50б",'2026'!$Q$8:$Q$185,"снесен")</f>
        <v>0</v>
      </c>
      <c r="BA13" s="36">
        <f t="shared" si="8"/>
        <v>0</v>
      </c>
      <c r="BB13" s="29"/>
      <c r="BC13" s="32">
        <f>SUMIFS('2026'!$N$8:$N$185,'2026'!$K$8:$K$185,"2026",'2026'!$J$8:$J$185,"4",'2026'!$R$8:$R$185,"район50б")</f>
        <v>9.5</v>
      </c>
      <c r="BD13" s="37">
        <f t="shared" si="40"/>
        <v>1</v>
      </c>
      <c r="BE13" s="40">
        <f t="shared" si="41"/>
        <v>1</v>
      </c>
      <c r="BF13" s="40">
        <f t="shared" si="41"/>
        <v>0</v>
      </c>
      <c r="BG13" s="41">
        <f t="shared" si="9"/>
        <v>0</v>
      </c>
      <c r="BH13" s="29"/>
      <c r="BI13" s="32">
        <f t="shared" si="66"/>
        <v>7</v>
      </c>
      <c r="BJ13" s="37">
        <f t="shared" si="42"/>
        <v>0</v>
      </c>
      <c r="BK13" s="42">
        <f t="shared" si="43"/>
        <v>0</v>
      </c>
      <c r="BL13" s="42">
        <f t="shared" si="43"/>
        <v>0</v>
      </c>
      <c r="BM13" s="41">
        <f t="shared" si="10"/>
        <v>0</v>
      </c>
      <c r="BN13" s="29">
        <f t="shared" si="65"/>
        <v>0</v>
      </c>
      <c r="BO13" s="29">
        <f t="shared" si="65"/>
        <v>0</v>
      </c>
      <c r="BP13" s="29">
        <f t="shared" si="44"/>
        <v>0</v>
      </c>
      <c r="BQ13" s="29">
        <f>COUNTIFS('2026'!$J$8:$J$185,"4",'2026'!$K$8:$K$185,"2026",'2026'!$R$8:$R$185,"республика50м")</f>
        <v>0</v>
      </c>
      <c r="BR13" s="29">
        <f>COUNTIFS('2026'!$J$8:$J$185,"4",'2026'!$K$8:$K$185,"2026",'2026'!$R$8:$R$185,"республика50м",'2026'!$Q$8:$Q$185,"снесен")</f>
        <v>0</v>
      </c>
      <c r="BS13" s="36">
        <f t="shared" si="11"/>
        <v>0</v>
      </c>
      <c r="BT13" s="29"/>
      <c r="BU13" s="29">
        <f>SUMIFS('2026'!$N$8:$N$185,'2026'!$K$8:$K$185,"2026",'2026'!$J$8:$J$185,"4",'2026'!$R$8:$R$185,"республика50м")</f>
        <v>0</v>
      </c>
      <c r="BV13" s="29">
        <f t="shared" si="46"/>
        <v>0</v>
      </c>
      <c r="BW13" s="29">
        <f>COUNTIFS('2026'!$J$8:$J$185,"4",'2026'!$K$8:$K$185,"2026",'2026'!$R$8:$R$185,"область50м")</f>
        <v>0</v>
      </c>
      <c r="BX13" s="29">
        <f>COUNTIFS('2026'!$J$8:$J$185,"4",'2026'!$K$8:$K$185,"2026",'2026'!$R$8:$R$185,"область50м",'2026'!$Q$8:$Q$185,"снесен")</f>
        <v>0</v>
      </c>
      <c r="BY13" s="36">
        <f t="shared" si="12"/>
        <v>0</v>
      </c>
      <c r="BZ13" s="29"/>
      <c r="CA13" s="29">
        <f>SUMIFS('2026'!$N$8:$N$185,'2026'!$K$8:$K$185,"2026",'2026'!$J$8:$J$185,"4",'2026'!$R$8:$R$185,"область50м")</f>
        <v>0</v>
      </c>
      <c r="CB13" s="29">
        <f t="shared" si="48"/>
        <v>0</v>
      </c>
      <c r="CC13" s="29">
        <f>COUNTIFS('2026'!$J$8:$J$185,"4",'2026'!$K$8:$K$185,"2026",'2026'!$R$8:$R$185,"район50м")</f>
        <v>0</v>
      </c>
      <c r="CD13" s="29">
        <f>COUNTIFS('2026'!$J$8:$J$185,"4",'2026'!$K$8:$K$185,"2026",'2026'!$R$8:$R$185,"район50м",'2026'!$Q$8:$Q$185,"снесен")</f>
        <v>0</v>
      </c>
      <c r="CE13" s="36">
        <f t="shared" si="13"/>
        <v>0</v>
      </c>
      <c r="CF13" s="29"/>
      <c r="CG13" s="29">
        <f>SUMIFS('2026'!$N$8:$N$185,'2026'!$K$8:$K$185,"2026",'2026'!$J$8:$J$185,"4",'2026'!$R$8:$R$185,"район50м")</f>
        <v>0</v>
      </c>
      <c r="CH13" s="30">
        <f t="shared" si="50"/>
        <v>1</v>
      </c>
      <c r="CI13" s="29">
        <f>COUNTIFS('2026'!$J$8:$J$185,"4",'2026'!$K$8:$K$185,"2026",'2026'!$R$8:$R$185,"райпо")</f>
        <v>1</v>
      </c>
      <c r="CJ13" s="29">
        <f>COUNTIFS('2026'!$J$8:$J$185,"4",'2026'!$K$8:$K$185,"2026",'2026'!$R$8:$R$185,"райпо",'2026'!$Q$8:$Q$185,"снесен")</f>
        <v>0</v>
      </c>
      <c r="CK13" s="36">
        <f t="shared" si="14"/>
        <v>0</v>
      </c>
      <c r="CL13" s="29"/>
      <c r="CM13" s="29">
        <f>SUMIFS('2026'!$N$8:$N$185,'2026'!$K$8:$K$185,"2026",'2026'!$J$8:$J$185,"4",'2026'!$R$8:$R$185,"райпо")</f>
        <v>7</v>
      </c>
      <c r="CN13" s="43">
        <f t="shared" si="52"/>
        <v>0</v>
      </c>
      <c r="CO13" s="29">
        <f>COUNTIFS('2026'!$J$8:$J$185,"4",'2026'!$K$8:$K$185,"2026",'2026'!$R$8:$R$185,"инаяч")</f>
        <v>0</v>
      </c>
      <c r="CP13" s="29">
        <f>COUNTIFS('2026'!$J$8:$J$185,"4",'2026'!$K$8:$K$185,"2026",'2026'!$R$8:$R$185,"инаяч",'2026'!$Q$8:$Q$185,"снесен")</f>
        <v>0</v>
      </c>
      <c r="CQ13" s="36">
        <f t="shared" si="15"/>
        <v>0</v>
      </c>
      <c r="CR13" s="29"/>
      <c r="CS13" s="32">
        <f>SUMIFS('2026'!$N$8:$N$185,'2026'!$K$8:$K$185,"2026",'2026'!$J$8:$J$185,"4",'2026'!$R$8:$R$185,"инаяч")</f>
        <v>0</v>
      </c>
      <c r="CT13" s="44">
        <f t="shared" si="54"/>
        <v>0</v>
      </c>
      <c r="CU13" s="29">
        <f>COUNTIFS('2026'!$J$8:$J$185,"4",'2026'!$K$8:$K$185,"2026",'2026'!$R$8:$R$185,"бесхозяйное")</f>
        <v>0</v>
      </c>
      <c r="CV13" s="29">
        <f>COUNTIFS('2026'!$J$8:$J$185,"4",'2026'!$K$8:$K$185,"2026",'2026'!$R$8:$R$185,"бесхозяйное",'2026'!$Q$8:$Q$185,"снесен")</f>
        <v>0</v>
      </c>
      <c r="CW13" s="36">
        <f t="shared" si="16"/>
        <v>0</v>
      </c>
      <c r="CX13" s="29"/>
      <c r="CY13" s="32">
        <f>SUMIFS('2026'!$N$8:$N$185,'2026'!$K$8:$K$185,"2026",'2026'!$J$8:$J$185,"4",'2026'!$R$8:$R$185,"бесхозяйное")</f>
        <v>0</v>
      </c>
      <c r="DB13" s="46">
        <f t="shared" si="17"/>
        <v>2</v>
      </c>
      <c r="DC13" s="38">
        <f t="shared" si="67"/>
        <v>2</v>
      </c>
      <c r="DD13" s="38">
        <f t="shared" si="67"/>
        <v>0</v>
      </c>
      <c r="DE13" s="39">
        <f t="shared" si="68"/>
        <v>0</v>
      </c>
      <c r="DF13" s="47">
        <f t="shared" si="69"/>
        <v>0</v>
      </c>
      <c r="DG13" s="48">
        <f t="shared" si="69"/>
        <v>9.5</v>
      </c>
      <c r="DH13" s="49">
        <f t="shared" si="70"/>
        <v>0</v>
      </c>
      <c r="DI13" s="47">
        <f t="shared" si="70"/>
        <v>0</v>
      </c>
      <c r="DJ13" s="47">
        <f t="shared" si="70"/>
        <v>0</v>
      </c>
      <c r="DK13" s="50">
        <f t="shared" si="18"/>
        <v>0</v>
      </c>
      <c r="DL13" s="47"/>
      <c r="DM13" s="48">
        <f t="shared" si="71"/>
        <v>0</v>
      </c>
      <c r="DN13" s="49">
        <f t="shared" si="71"/>
        <v>0</v>
      </c>
      <c r="DO13" s="47">
        <f t="shared" si="71"/>
        <v>0</v>
      </c>
      <c r="DP13" s="47">
        <f t="shared" si="71"/>
        <v>0</v>
      </c>
      <c r="DQ13" s="50">
        <f t="shared" si="19"/>
        <v>0</v>
      </c>
      <c r="DR13" s="47"/>
      <c r="DS13" s="48">
        <f t="shared" si="72"/>
        <v>0</v>
      </c>
      <c r="DT13" s="49">
        <f t="shared" si="72"/>
        <v>2</v>
      </c>
      <c r="DU13" s="47">
        <f t="shared" si="72"/>
        <v>2</v>
      </c>
      <c r="DV13" s="47">
        <f t="shared" si="72"/>
        <v>0</v>
      </c>
      <c r="DW13" s="50">
        <f t="shared" si="20"/>
        <v>0</v>
      </c>
      <c r="DX13" s="47"/>
      <c r="DY13" s="48">
        <f>BC13+CG13</f>
        <v>9.5</v>
      </c>
    </row>
    <row r="14" spans="1:129" s="45" customFormat="1" ht="15.75" customHeight="1" x14ac:dyDescent="0.25">
      <c r="A14" s="28" t="s">
        <v>175</v>
      </c>
      <c r="B14" s="29">
        <f t="shared" si="21"/>
        <v>1</v>
      </c>
      <c r="C14" s="30">
        <f t="shared" si="22"/>
        <v>1</v>
      </c>
      <c r="D14" s="30">
        <f t="shared" si="22"/>
        <v>0</v>
      </c>
      <c r="E14" s="31">
        <f t="shared" si="0"/>
        <v>0</v>
      </c>
      <c r="F14" s="29">
        <f t="shared" si="23"/>
        <v>0</v>
      </c>
      <c r="G14" s="32">
        <f t="shared" si="23"/>
        <v>9.1999999999999993</v>
      </c>
      <c r="H14" s="33">
        <f t="shared" si="24"/>
        <v>1</v>
      </c>
      <c r="I14" s="34">
        <f t="shared" si="25"/>
        <v>1</v>
      </c>
      <c r="J14" s="34">
        <f t="shared" si="25"/>
        <v>0</v>
      </c>
      <c r="K14" s="35">
        <f t="shared" si="1"/>
        <v>0</v>
      </c>
      <c r="L14" s="29">
        <f t="shared" si="63"/>
        <v>0</v>
      </c>
      <c r="M14" s="32">
        <f t="shared" si="63"/>
        <v>9.1999999999999993</v>
      </c>
      <c r="N14" s="33">
        <f t="shared" si="26"/>
        <v>0</v>
      </c>
      <c r="O14" s="29">
        <f>COUNTIFS('2026'!$J$8:$J$185,"&gt;4",'2026'!$K$8:$K$185,"2026",'2026'!$R$8:$R$185,"республика")</f>
        <v>0</v>
      </c>
      <c r="P14" s="29">
        <f>COUNTIFS('2026'!$J$8:$J$185,"&gt;4",'2026'!$K$8:$K$185,"2026",'2026'!$R$8:$R$185,"республика",'2026'!$Q$8:$Q$185,"снесен")</f>
        <v>0</v>
      </c>
      <c r="Q14" s="36">
        <f t="shared" si="2"/>
        <v>0</v>
      </c>
      <c r="R14" s="29"/>
      <c r="S14" s="29">
        <f>SUMIFS('2026'!$N$8:$N$185,'2026'!$K$8:$K$185,"2026",'2026'!$J$8:$J$185,"&gt;4",'2026'!$R$8:$R$185,"республика")</f>
        <v>0</v>
      </c>
      <c r="T14" s="29">
        <f t="shared" si="28"/>
        <v>0</v>
      </c>
      <c r="U14" s="29">
        <f>COUNTIFS('2026'!$J$8:$J$185,"&gt;4",'2026'!$K$8:$K$185,"2026",'2026'!$R$8:$R$185,"область")</f>
        <v>0</v>
      </c>
      <c r="V14" s="29">
        <f>COUNTIFS('2026'!$J$8:$J$185,"&gt;4",'2026'!$K$8:$K$185,"2026",'2026'!$R$8:$R$185,"область",'2026'!$Q$8:$Q$185,"снесен")</f>
        <v>0</v>
      </c>
      <c r="W14" s="36">
        <f t="shared" si="3"/>
        <v>0</v>
      </c>
      <c r="X14" s="29"/>
      <c r="Y14" s="29">
        <f>SUMIFS('2026'!$N$8:$N$185,'2026'!$K$8:$K$185,"2026",'2026'!$J$8:$J$185,"&gt;4",'2026'!$R$8:$R$185,"область")</f>
        <v>0</v>
      </c>
      <c r="Z14" s="29">
        <f t="shared" si="30"/>
        <v>1</v>
      </c>
      <c r="AA14" s="29">
        <f>COUNTIFS('2026'!$J$8:$J$185,"&gt;4",'2026'!$K$8:$K$185,"2026",'2026'!$R$8:$R$185,"район")</f>
        <v>1</v>
      </c>
      <c r="AB14" s="29">
        <f>COUNTIFS('2026'!$J$8:$J$185,"&gt;4",'2026'!$K$8:$K$185,"2026",'2026'!$R$8:$R$185,"район",'2026'!$Q$8:$Q$185,"снесен")</f>
        <v>0</v>
      </c>
      <c r="AC14" s="36">
        <f t="shared" si="4"/>
        <v>0</v>
      </c>
      <c r="AD14" s="29"/>
      <c r="AE14" s="32">
        <f>SUMIFS('2026'!$N$8:$N$185,'2026'!$K$8:$K$185,"2026",'2026'!$J$8:$J$185,"&gt;4",'2026'!$R$8:$R$185,"район")</f>
        <v>9.1999999999999993</v>
      </c>
      <c r="AF14" s="37">
        <f t="shared" si="32"/>
        <v>0</v>
      </c>
      <c r="AG14" s="38">
        <f t="shared" si="33"/>
        <v>0</v>
      </c>
      <c r="AH14" s="38">
        <f t="shared" si="33"/>
        <v>0</v>
      </c>
      <c r="AI14" s="39">
        <f t="shared" si="5"/>
        <v>0</v>
      </c>
      <c r="AJ14" s="29">
        <f t="shared" si="64"/>
        <v>0</v>
      </c>
      <c r="AK14" s="32">
        <f t="shared" si="64"/>
        <v>0</v>
      </c>
      <c r="AL14" s="37">
        <f t="shared" si="34"/>
        <v>0</v>
      </c>
      <c r="AM14" s="29">
        <f>COUNTIFS('2026'!$J$8:$J$185,"&gt;4",'2026'!$K$8:$K$185,"2026",'2026'!$R$8:$R$185,"республика50б")</f>
        <v>0</v>
      </c>
      <c r="AN14" s="29">
        <f>COUNTIFS('2026'!$J$8:$J$185,"&gt;4",'2026'!$K$8:$K$185,"2026",'2026'!$R$8:$R$185,"республика50б",'2026'!$Q$8:$Q$185,"снесен")</f>
        <v>0</v>
      </c>
      <c r="AO14" s="36">
        <f t="shared" si="6"/>
        <v>0</v>
      </c>
      <c r="AP14" s="29"/>
      <c r="AQ14" s="29">
        <f>SUMIFS('2026'!$N$8:$N$185,'2026'!$K$8:$K$185,"2026",'2026'!$J$8:$J$185,"&gt;4",'2026'!$R$8:$R$185,"республика50б")</f>
        <v>0</v>
      </c>
      <c r="AR14" s="29">
        <f t="shared" si="36"/>
        <v>0</v>
      </c>
      <c r="AS14" s="29">
        <f>COUNTIFS('2026'!$J$8:$J$185,"&gt;4",'2026'!$K$8:$K$185,"2026",'2026'!$R$8:$R$185,"область50б")</f>
        <v>0</v>
      </c>
      <c r="AT14" s="29">
        <f>COUNTIFS('2026'!$J$8:$J$185,"&gt;4",'2026'!$K$8:$K$185,"2026",'2026'!$R$8:$R$185,"область50б",'2026'!$Q$8:$Q$185,"снесен")</f>
        <v>0</v>
      </c>
      <c r="AU14" s="36">
        <f t="shared" si="7"/>
        <v>0</v>
      </c>
      <c r="AV14" s="29"/>
      <c r="AW14" s="29">
        <f>SUMIFS('2026'!$N$8:$N$185,'2026'!$K$8:$K$185,"2026",'2026'!$J$8:$J$185,"&gt;4",'2026'!$R$8:$R$185,"область50б")</f>
        <v>0</v>
      </c>
      <c r="AX14" s="29">
        <f t="shared" si="38"/>
        <v>0</v>
      </c>
      <c r="AY14" s="29">
        <f>COUNTIFS('2026'!$J$8:$J$185,"&gt;4",'2026'!$K$8:$K$185,"2026",'2026'!$R$8:$R$185,"район50б")</f>
        <v>0</v>
      </c>
      <c r="AZ14" s="29">
        <f>COUNTIFS('2026'!$J$8:$J$185,"&gt;4",'2026'!$K$8:$K$185,"2026",'2026'!$R$8:$R$185,"район50б",'2026'!$Q$8:$Q$185,"снесен")</f>
        <v>0</v>
      </c>
      <c r="BA14" s="36">
        <f t="shared" si="8"/>
        <v>0</v>
      </c>
      <c r="BB14" s="29"/>
      <c r="BC14" s="32">
        <f>SUMIFS('2026'!$N$8:$N$185,'2026'!$K$8:$K$185,"2026",'2026'!$J$8:$J$185,"&gt;4",'2026'!$R$8:$R$185,"район50б")</f>
        <v>0</v>
      </c>
      <c r="BD14" s="37">
        <f t="shared" si="40"/>
        <v>0</v>
      </c>
      <c r="BE14" s="40">
        <f t="shared" si="41"/>
        <v>0</v>
      </c>
      <c r="BF14" s="40">
        <f t="shared" si="41"/>
        <v>0</v>
      </c>
      <c r="BG14" s="41">
        <f t="shared" si="9"/>
        <v>0</v>
      </c>
      <c r="BH14" s="29"/>
      <c r="BI14" s="32">
        <f t="shared" si="66"/>
        <v>0</v>
      </c>
      <c r="BJ14" s="37">
        <f t="shared" si="42"/>
        <v>0</v>
      </c>
      <c r="BK14" s="42">
        <f t="shared" si="43"/>
        <v>0</v>
      </c>
      <c r="BL14" s="42">
        <f t="shared" si="43"/>
        <v>0</v>
      </c>
      <c r="BM14" s="41">
        <f t="shared" si="10"/>
        <v>0</v>
      </c>
      <c r="BN14" s="29">
        <f t="shared" si="65"/>
        <v>0</v>
      </c>
      <c r="BO14" s="29">
        <f t="shared" si="65"/>
        <v>0</v>
      </c>
      <c r="BP14" s="29">
        <f t="shared" si="44"/>
        <v>0</v>
      </c>
      <c r="BQ14" s="29">
        <f>COUNTIFS('2026'!$J$8:$J$185,"&gt;4",'2026'!$K$8:$K$185,"2026",'2026'!$R$8:$R$185,"республика50м")</f>
        <v>0</v>
      </c>
      <c r="BR14" s="29">
        <f>COUNTIFS('2026'!$J$8:$J$185,"&gt;4",'2026'!$K$8:$K$185,"2026",'2026'!$R$8:$R$185,"республика50м",'2026'!$Q$8:$Q$185,"снесен")</f>
        <v>0</v>
      </c>
      <c r="BS14" s="36">
        <f t="shared" si="11"/>
        <v>0</v>
      </c>
      <c r="BT14" s="29"/>
      <c r="BU14" s="29">
        <f>SUMIFS('2026'!$N$8:$N$185,'2026'!$K$8:$K$185,"2026",'2026'!$J$8:$J$185,"&gt;4",'2026'!$R$8:$R$185,"республика50м")</f>
        <v>0</v>
      </c>
      <c r="BV14" s="29">
        <f t="shared" si="46"/>
        <v>0</v>
      </c>
      <c r="BW14" s="29">
        <f>COUNTIFS('2026'!$J$8:$J$185,"&gt;4",'2026'!$K$8:$K$185,"2026",'2026'!$R$8:$R$185,"область50м")</f>
        <v>0</v>
      </c>
      <c r="BX14" s="29">
        <f>COUNTIFS('2026'!$J$8:$J$185,"&gt;4",'2026'!$K$8:$K$185,"2026",'2026'!$R$8:$R$185,"область50м",'2026'!$Q$8:$Q$185,"снесен")</f>
        <v>0</v>
      </c>
      <c r="BY14" s="36">
        <f t="shared" si="12"/>
        <v>0</v>
      </c>
      <c r="BZ14" s="29"/>
      <c r="CA14" s="29">
        <f>SUMIFS('2026'!$N$8:$N$185,'2026'!$K$8:$K$185,"2026",'2026'!$J$8:$J$185,"&gt;4",'2026'!$R$8:$R$185,"область50м")</f>
        <v>0</v>
      </c>
      <c r="CB14" s="29">
        <f t="shared" si="48"/>
        <v>0</v>
      </c>
      <c r="CC14" s="29">
        <f>COUNTIFS('2026'!$J$8:$J$185,"&gt;4",'2026'!$K$8:$K$185,"2026",'2026'!$R$8:$R$185,"район50м")</f>
        <v>0</v>
      </c>
      <c r="CD14" s="29">
        <f>COUNTIFS('2026'!$J$8:$J$185,"&gt;4",'2026'!$K$8:$K$185,"2026",'2026'!$R$8:$R$185,"район50м",'2026'!$Q$8:$Q$185,"снесен")</f>
        <v>0</v>
      </c>
      <c r="CE14" s="36">
        <f t="shared" si="13"/>
        <v>0</v>
      </c>
      <c r="CF14" s="29"/>
      <c r="CG14" s="29">
        <f>SUMIFS('2026'!$N$8:$N$185,'2026'!$K$8:$K$185,"2026",'2026'!$J$8:$J$185,"&gt;4",'2026'!$R$8:$R$185,"район50м")</f>
        <v>0</v>
      </c>
      <c r="CH14" s="30">
        <f t="shared" si="50"/>
        <v>0</v>
      </c>
      <c r="CI14" s="29">
        <f>COUNTIFS('2026'!$J$8:$J$185,"&gt;4",'2026'!$K$8:$K$185,"2026",'2026'!$R$8:$R$185,"райпо")</f>
        <v>0</v>
      </c>
      <c r="CJ14" s="29">
        <f>COUNTIFS('2026'!$J$8:$J$185,"&gt;4",'2026'!$K$8:$K$185,"2026",'2026'!$R$8:$R$185,"райпо",'2026'!$Q$8:$Q$185,"снесен")</f>
        <v>0</v>
      </c>
      <c r="CK14" s="36">
        <f t="shared" si="14"/>
        <v>0</v>
      </c>
      <c r="CL14" s="29"/>
      <c r="CM14" s="29">
        <f>SUMIFS('2026'!$N$8:$N$185,'2026'!$K$8:$K$185,"2026",'2026'!$J$8:$J$185,"&gt;4",'2026'!$R$8:$R$185,"райпо")</f>
        <v>0</v>
      </c>
      <c r="CN14" s="43">
        <f t="shared" si="52"/>
        <v>0</v>
      </c>
      <c r="CO14" s="29">
        <f>COUNTIFS('2026'!$J$8:$J$185,"&gt;4",'2026'!$K$8:$K$185,"2026",'2026'!$R$8:$R$185,"инаяч")</f>
        <v>0</v>
      </c>
      <c r="CP14" s="29">
        <f>COUNTIFS('2026'!$J$8:$J$185,"&gt;4",'2026'!$K$8:$K$185,"2026",'2026'!$R$8:$R$185,"инаяч",'2026'!$Q$8:$Q$185,"снесен")</f>
        <v>0</v>
      </c>
      <c r="CQ14" s="36">
        <f t="shared" si="15"/>
        <v>0</v>
      </c>
      <c r="CR14" s="29"/>
      <c r="CS14" s="32">
        <f>SUMIFS('2026'!$N$8:$N$185,'2026'!$K$8:$K$185,"2026",'2026'!$J$8:$J$185,"&gt;4",'2026'!$R$8:$R$185,"инаяч")</f>
        <v>0</v>
      </c>
      <c r="CT14" s="44">
        <f t="shared" si="54"/>
        <v>0</v>
      </c>
      <c r="CU14" s="29">
        <f>COUNTIFS('2026'!$J$8:$J$185,"&gt;4",'2026'!$K$8:$K$185,"2026",'2026'!$R$8:$R$185,"бесхозяйное")</f>
        <v>0</v>
      </c>
      <c r="CV14" s="29">
        <f>COUNTIFS('2026'!$J$8:$J$185,"&gt;4",'2026'!$K$8:$K$185,"2026",'2026'!$R$8:$R$185,"бесхозяйное",'2026'!$Q$8:$Q$185,"снесен")</f>
        <v>0</v>
      </c>
      <c r="CW14" s="36">
        <f t="shared" si="16"/>
        <v>0</v>
      </c>
      <c r="CX14" s="29"/>
      <c r="CY14" s="32">
        <f>SUMIFS('2026'!$N$8:$N$185,'2026'!$K$8:$K$185,"2026",'2026'!$J$8:$J$185,"&gt;4",'2026'!$R$8:$R$185,"бесхозяйное")</f>
        <v>0</v>
      </c>
      <c r="DB14" s="46">
        <f t="shared" si="17"/>
        <v>0</v>
      </c>
      <c r="DC14" s="38">
        <f t="shared" si="67"/>
        <v>0</v>
      </c>
      <c r="DD14" s="38">
        <f t="shared" si="67"/>
        <v>0</v>
      </c>
      <c r="DE14" s="39">
        <f t="shared" si="68"/>
        <v>0</v>
      </c>
      <c r="DF14" s="47">
        <f t="shared" si="69"/>
        <v>0</v>
      </c>
      <c r="DG14" s="48">
        <f t="shared" si="69"/>
        <v>0</v>
      </c>
      <c r="DH14" s="49">
        <f t="shared" si="70"/>
        <v>0</v>
      </c>
      <c r="DI14" s="47">
        <f t="shared" si="70"/>
        <v>0</v>
      </c>
      <c r="DJ14" s="47">
        <f t="shared" si="70"/>
        <v>0</v>
      </c>
      <c r="DK14" s="50">
        <f t="shared" si="18"/>
        <v>0</v>
      </c>
      <c r="DL14" s="47"/>
      <c r="DM14" s="48">
        <f t="shared" si="71"/>
        <v>0</v>
      </c>
      <c r="DN14" s="49">
        <f t="shared" si="71"/>
        <v>0</v>
      </c>
      <c r="DO14" s="47">
        <f t="shared" si="71"/>
        <v>0</v>
      </c>
      <c r="DP14" s="47">
        <f t="shared" si="71"/>
        <v>0</v>
      </c>
      <c r="DQ14" s="50">
        <f t="shared" si="19"/>
        <v>0</v>
      </c>
      <c r="DR14" s="47"/>
      <c r="DS14" s="48">
        <f t="shared" si="72"/>
        <v>0</v>
      </c>
      <c r="DT14" s="49">
        <f t="shared" si="72"/>
        <v>0</v>
      </c>
      <c r="DU14" s="47">
        <f t="shared" si="72"/>
        <v>0</v>
      </c>
      <c r="DV14" s="47">
        <f t="shared" si="72"/>
        <v>0</v>
      </c>
      <c r="DW14" s="50">
        <f t="shared" si="20"/>
        <v>0</v>
      </c>
      <c r="DX14" s="47"/>
      <c r="DY14" s="48">
        <f>BC14+CG14</f>
        <v>0</v>
      </c>
    </row>
    <row r="15" spans="1:129" s="45" customFormat="1" ht="15.75" x14ac:dyDescent="0.25">
      <c r="A15" s="67">
        <v>2027</v>
      </c>
      <c r="B15" s="42">
        <f t="shared" si="21"/>
        <v>11</v>
      </c>
      <c r="C15" s="30"/>
      <c r="D15" s="30"/>
      <c r="E15" s="31"/>
      <c r="F15" s="42">
        <f t="shared" si="23"/>
        <v>11</v>
      </c>
      <c r="G15" s="52">
        <f t="shared" si="23"/>
        <v>61.199999999999996</v>
      </c>
      <c r="H15" s="53">
        <f t="shared" si="24"/>
        <v>3</v>
      </c>
      <c r="I15" s="34"/>
      <c r="J15" s="34"/>
      <c r="K15" s="35"/>
      <c r="L15" s="42">
        <f t="shared" si="63"/>
        <v>3</v>
      </c>
      <c r="M15" s="52">
        <f t="shared" si="63"/>
        <v>29</v>
      </c>
      <c r="N15" s="53">
        <f t="shared" si="26"/>
        <v>0</v>
      </c>
      <c r="O15" s="54"/>
      <c r="P15" s="54"/>
      <c r="Q15" s="41"/>
      <c r="R15" s="54">
        <f>SUM(R16:R19)</f>
        <v>0</v>
      </c>
      <c r="S15" s="54">
        <f>SUM(S16:S19)</f>
        <v>0</v>
      </c>
      <c r="T15" s="42">
        <f t="shared" si="28"/>
        <v>0</v>
      </c>
      <c r="U15" s="54"/>
      <c r="V15" s="54"/>
      <c r="W15" s="41"/>
      <c r="X15" s="54">
        <f>SUM(X16:X19)</f>
        <v>0</v>
      </c>
      <c r="Y15" s="54">
        <f>SUM(Y16:Y19)</f>
        <v>0</v>
      </c>
      <c r="Z15" s="42">
        <f t="shared" si="30"/>
        <v>3</v>
      </c>
      <c r="AA15" s="54"/>
      <c r="AB15" s="54"/>
      <c r="AC15" s="41"/>
      <c r="AD15" s="54">
        <f>SUM(AD16:AD19)</f>
        <v>3</v>
      </c>
      <c r="AE15" s="55">
        <f>SUM(AE16:AE19)</f>
        <v>29</v>
      </c>
      <c r="AF15" s="56">
        <f t="shared" si="32"/>
        <v>6</v>
      </c>
      <c r="AG15" s="38"/>
      <c r="AH15" s="38"/>
      <c r="AI15" s="39"/>
      <c r="AJ15" s="42">
        <f t="shared" si="64"/>
        <v>6</v>
      </c>
      <c r="AK15" s="52">
        <f t="shared" si="64"/>
        <v>26.9</v>
      </c>
      <c r="AL15" s="56">
        <f t="shared" si="34"/>
        <v>0</v>
      </c>
      <c r="AM15" s="54"/>
      <c r="AN15" s="54"/>
      <c r="AO15" s="41"/>
      <c r="AP15" s="54">
        <f>SUM(AP16:AP19)</f>
        <v>0</v>
      </c>
      <c r="AQ15" s="54">
        <f>SUM(AQ16:AQ19)</f>
        <v>0</v>
      </c>
      <c r="AR15" s="42">
        <f t="shared" si="36"/>
        <v>1</v>
      </c>
      <c r="AS15" s="54"/>
      <c r="AT15" s="54"/>
      <c r="AU15" s="41"/>
      <c r="AV15" s="54">
        <f>SUM(AV16:AV19)</f>
        <v>1</v>
      </c>
      <c r="AW15" s="54">
        <f>SUM(AW16:AW19)</f>
        <v>3.5</v>
      </c>
      <c r="AX15" s="42">
        <f t="shared" si="38"/>
        <v>5</v>
      </c>
      <c r="AY15" s="54"/>
      <c r="AZ15" s="54"/>
      <c r="BA15" s="41"/>
      <c r="BB15" s="54">
        <f>SUM(BB16:BB19)</f>
        <v>5</v>
      </c>
      <c r="BC15" s="55">
        <f>SUM(BC16:BC19)</f>
        <v>23.4</v>
      </c>
      <c r="BD15" s="57">
        <f t="shared" si="40"/>
        <v>2</v>
      </c>
      <c r="BE15" s="58">
        <f t="shared" si="41"/>
        <v>0</v>
      </c>
      <c r="BF15" s="58">
        <f t="shared" si="41"/>
        <v>0</v>
      </c>
      <c r="BG15" s="59">
        <f t="shared" si="9"/>
        <v>0</v>
      </c>
      <c r="BH15" s="54">
        <f t="shared" ref="BH15:BH34" si="73">BN15+CL15+CR15</f>
        <v>2</v>
      </c>
      <c r="BI15" s="55">
        <f t="shared" si="66"/>
        <v>5.3</v>
      </c>
      <c r="BJ15" s="57">
        <f t="shared" si="42"/>
        <v>0</v>
      </c>
      <c r="BK15" s="54"/>
      <c r="BL15" s="54"/>
      <c r="BM15" s="59"/>
      <c r="BN15" s="54">
        <f t="shared" si="65"/>
        <v>0</v>
      </c>
      <c r="BO15" s="54">
        <f t="shared" si="65"/>
        <v>0</v>
      </c>
      <c r="BP15" s="54">
        <f t="shared" si="44"/>
        <v>0</v>
      </c>
      <c r="BQ15" s="54"/>
      <c r="BR15" s="54"/>
      <c r="BS15" s="41"/>
      <c r="BT15" s="54">
        <f>SUM(BT16:BT19)</f>
        <v>0</v>
      </c>
      <c r="BU15" s="54">
        <f>SUM(BU16:BU19)</f>
        <v>0</v>
      </c>
      <c r="BV15" s="54">
        <f t="shared" si="46"/>
        <v>0</v>
      </c>
      <c r="BW15" s="54"/>
      <c r="BX15" s="54"/>
      <c r="BY15" s="41"/>
      <c r="BZ15" s="54">
        <f>SUM(BZ16:BZ19)</f>
        <v>0</v>
      </c>
      <c r="CA15" s="54">
        <f>SUM(CA16:CA19)</f>
        <v>0</v>
      </c>
      <c r="CB15" s="42">
        <f t="shared" si="48"/>
        <v>0</v>
      </c>
      <c r="CC15" s="54"/>
      <c r="CD15" s="54"/>
      <c r="CE15" s="41"/>
      <c r="CF15" s="54">
        <f>SUM(CF16:CF19)</f>
        <v>0</v>
      </c>
      <c r="CG15" s="54">
        <f>SUM(CG16:CG19)</f>
        <v>0</v>
      </c>
      <c r="CH15" s="30">
        <f t="shared" si="50"/>
        <v>2</v>
      </c>
      <c r="CI15" s="54"/>
      <c r="CJ15" s="54"/>
      <c r="CK15" s="41"/>
      <c r="CL15" s="54">
        <f>SUM(CL16:CL19)</f>
        <v>2</v>
      </c>
      <c r="CM15" s="54">
        <f>SUM(CM16:CM19)</f>
        <v>5.3</v>
      </c>
      <c r="CN15" s="43">
        <f t="shared" si="52"/>
        <v>0</v>
      </c>
      <c r="CO15" s="54"/>
      <c r="CP15" s="54"/>
      <c r="CQ15" s="41"/>
      <c r="CR15" s="54">
        <f>SUM(CR16:CR19)</f>
        <v>0</v>
      </c>
      <c r="CS15" s="55">
        <f>SUM(CS16:CS19)</f>
        <v>0</v>
      </c>
      <c r="CT15" s="44">
        <f t="shared" si="54"/>
        <v>0</v>
      </c>
      <c r="CU15" s="54"/>
      <c r="CV15" s="54"/>
      <c r="CW15" s="41"/>
      <c r="CX15" s="54">
        <f>SUM(CX16:CX19)</f>
        <v>0</v>
      </c>
      <c r="CY15" s="55">
        <f>SUM(CY16:CY19)</f>
        <v>0</v>
      </c>
      <c r="DB15" s="60">
        <f t="shared" si="17"/>
        <v>6</v>
      </c>
      <c r="DC15" s="61">
        <f>SUM(DC16:DC19)</f>
        <v>0</v>
      </c>
      <c r="DD15" s="61">
        <f>SUM(DD16:DD19)</f>
        <v>0</v>
      </c>
      <c r="DE15" s="62">
        <f>IFERROR(DD15/DC15*100,0)</f>
        <v>0</v>
      </c>
      <c r="DF15" s="63">
        <f>SUM(DF16:DF19)</f>
        <v>6</v>
      </c>
      <c r="DG15" s="64">
        <f>SUM(DG16:DG19)</f>
        <v>26.9</v>
      </c>
      <c r="DH15" s="65">
        <f>DI15+DL15</f>
        <v>0</v>
      </c>
      <c r="DI15" s="63"/>
      <c r="DJ15" s="63"/>
      <c r="DK15" s="66"/>
      <c r="DL15" s="63">
        <f>SUM(DL16:DL19)</f>
        <v>0</v>
      </c>
      <c r="DM15" s="64">
        <f>SUM(DM16:DM19)</f>
        <v>0</v>
      </c>
      <c r="DN15" s="65">
        <f>DO15+DR15</f>
        <v>1</v>
      </c>
      <c r="DO15" s="63"/>
      <c r="DP15" s="63"/>
      <c r="DQ15" s="66"/>
      <c r="DR15" s="63">
        <f>SUM(DR16:DR19)</f>
        <v>1</v>
      </c>
      <c r="DS15" s="64">
        <f>SUM(DS16:DS19)</f>
        <v>3.5</v>
      </c>
      <c r="DT15" s="65">
        <f>DU15+DX15</f>
        <v>5</v>
      </c>
      <c r="DU15" s="63"/>
      <c r="DV15" s="63"/>
      <c r="DW15" s="66"/>
      <c r="DX15" s="63">
        <f>SUM(DX16:DX19)</f>
        <v>5</v>
      </c>
      <c r="DY15" s="64">
        <f>SUM(DY16:DY19)</f>
        <v>23.4</v>
      </c>
    </row>
    <row r="16" spans="1:129" s="45" customFormat="1" ht="15.75" customHeight="1" x14ac:dyDescent="0.25">
      <c r="A16" s="28" t="s">
        <v>176</v>
      </c>
      <c r="B16" s="29">
        <f t="shared" si="21"/>
        <v>3</v>
      </c>
      <c r="C16" s="30"/>
      <c r="D16" s="30"/>
      <c r="E16" s="31"/>
      <c r="F16" s="29">
        <f t="shared" si="23"/>
        <v>3</v>
      </c>
      <c r="G16" s="32">
        <f t="shared" si="23"/>
        <v>5.8</v>
      </c>
      <c r="H16" s="33">
        <f t="shared" si="24"/>
        <v>1</v>
      </c>
      <c r="I16" s="34"/>
      <c r="J16" s="34"/>
      <c r="K16" s="35"/>
      <c r="L16" s="29">
        <f t="shared" si="63"/>
        <v>1</v>
      </c>
      <c r="M16" s="32">
        <f t="shared" si="63"/>
        <v>1</v>
      </c>
      <c r="N16" s="33">
        <f t="shared" si="26"/>
        <v>0</v>
      </c>
      <c r="O16" s="63"/>
      <c r="P16" s="63"/>
      <c r="Q16" s="36"/>
      <c r="R16" s="29">
        <f>COUNTIFS('2026'!$J$8:$J$185,"&lt;3",'2026'!$K$8:$K$185,"2027",'2026'!$R$8:$R$185,"республика")</f>
        <v>0</v>
      </c>
      <c r="S16" s="29">
        <f>SUMIFS('2026'!$N$8:$N$185,'2026'!$K$8:$K$185,"2027",'2026'!$J$8:$J$185,"&lt;3",'2026'!$R$8:$R$185,"республика")</f>
        <v>0</v>
      </c>
      <c r="T16" s="29">
        <f t="shared" si="28"/>
        <v>0</v>
      </c>
      <c r="U16" s="63"/>
      <c r="V16" s="63"/>
      <c r="W16" s="36"/>
      <c r="X16" s="29">
        <f>COUNTIFS('2026'!$J$8:$J$185,"&lt;3",'2026'!$K$8:$K$185,"2027",'2026'!$R$8:$R$185,"область")</f>
        <v>0</v>
      </c>
      <c r="Y16" s="29">
        <f>SUMIFS('2026'!$N$8:$N$185,'2026'!$K$8:$K$185,"2027",'2026'!$J$8:$J$185,"&lt;3",'2026'!$R$8:$R$185,"область")</f>
        <v>0</v>
      </c>
      <c r="Z16" s="29">
        <f t="shared" si="30"/>
        <v>1</v>
      </c>
      <c r="AA16" s="63"/>
      <c r="AB16" s="63"/>
      <c r="AC16" s="36"/>
      <c r="AD16" s="29">
        <f>COUNTIFS('2026'!$J$8:$J$185,"&lt;3",'2026'!$K$8:$K$185,"2027",'2026'!$R$8:$R$185,"район")</f>
        <v>1</v>
      </c>
      <c r="AE16" s="32">
        <f>SUMIFS('2026'!$N$8:$N$185,'2026'!$K$8:$K$185,"2027",'2026'!$J$8:$J$185,"&lt;3",'2026'!$R$8:$R$185,"район")</f>
        <v>1</v>
      </c>
      <c r="AF16" s="37">
        <f t="shared" si="32"/>
        <v>1</v>
      </c>
      <c r="AG16" s="38"/>
      <c r="AH16" s="38"/>
      <c r="AI16" s="39"/>
      <c r="AJ16" s="29">
        <f>AP16+AV16+BB16</f>
        <v>1</v>
      </c>
      <c r="AK16" s="32">
        <f t="shared" si="64"/>
        <v>3</v>
      </c>
      <c r="AL16" s="37">
        <f t="shared" si="34"/>
        <v>0</v>
      </c>
      <c r="AM16" s="63"/>
      <c r="AN16" s="63"/>
      <c r="AO16" s="36"/>
      <c r="AP16" s="29">
        <f>COUNTIFS('2026'!$J$8:$J$185,"&lt;3",'2026'!$K$8:$K$185,"2027",'2026'!$R$8:$R$185,"республика50б")</f>
        <v>0</v>
      </c>
      <c r="AQ16" s="29">
        <f>SUMIFS('2026'!$N$8:$N$185,'2026'!$K$8:$K$185,"2027",'2026'!$J$8:$J$185,"&lt;3",'2026'!$R$8:$R$185,"республика50б")</f>
        <v>0</v>
      </c>
      <c r="AR16" s="29">
        <f t="shared" si="36"/>
        <v>0</v>
      </c>
      <c r="AS16" s="63"/>
      <c r="AT16" s="63"/>
      <c r="AU16" s="36"/>
      <c r="AV16" s="29">
        <f>COUNTIFS('2026'!$J$8:$J$185,"&lt;3",'2026'!$K$8:$K$185,"2027",'2026'!$R$8:$R$185,"область50б")</f>
        <v>0</v>
      </c>
      <c r="AW16" s="29">
        <f>SUMIFS('2026'!$N$8:$N$185,'2026'!$K$8:$K$185,"2027",'2026'!$J$8:$J$185,"&lt;3",'2026'!$R$8:$R$185,"область50б")</f>
        <v>0</v>
      </c>
      <c r="AX16" s="29">
        <f t="shared" si="38"/>
        <v>1</v>
      </c>
      <c r="AY16" s="63"/>
      <c r="AZ16" s="63"/>
      <c r="BA16" s="36"/>
      <c r="BB16" s="29">
        <f>COUNTIFS('2026'!$J$8:$J$185,"&lt;3",'2026'!$K$8:$K$185,"2027",'2026'!$R$8:$R$185,"район50б")</f>
        <v>1</v>
      </c>
      <c r="BC16" s="32">
        <f>SUMIFS('2026'!$N$8:$N$185,'2026'!$K$8:$K$185,"2027",'2026'!$J$8:$J$185,"&lt;3",'2026'!$R$8:$R$185,"район50б")</f>
        <v>3</v>
      </c>
      <c r="BD16" s="37">
        <f t="shared" si="40"/>
        <v>1</v>
      </c>
      <c r="BE16" s="40">
        <f t="shared" si="41"/>
        <v>0</v>
      </c>
      <c r="BF16" s="40">
        <f t="shared" si="41"/>
        <v>0</v>
      </c>
      <c r="BG16" s="41"/>
      <c r="BH16" s="29">
        <f t="shared" si="73"/>
        <v>1</v>
      </c>
      <c r="BI16" s="32">
        <f t="shared" si="66"/>
        <v>1.8</v>
      </c>
      <c r="BJ16" s="37">
        <f t="shared" si="42"/>
        <v>0</v>
      </c>
      <c r="BK16" s="42"/>
      <c r="BL16" s="42"/>
      <c r="BM16" s="41"/>
      <c r="BN16" s="29">
        <f t="shared" si="65"/>
        <v>0</v>
      </c>
      <c r="BO16" s="29">
        <f t="shared" si="65"/>
        <v>0</v>
      </c>
      <c r="BP16" s="29">
        <f t="shared" si="44"/>
        <v>0</v>
      </c>
      <c r="BQ16" s="63"/>
      <c r="BR16" s="63"/>
      <c r="BS16" s="36"/>
      <c r="BT16" s="29">
        <f>COUNTIFS('2026'!$J$8:$J$185,"&lt;3",'2026'!$K$8:$K$185,"2027",'2026'!$R$8:$R$185,"республика50м")</f>
        <v>0</v>
      </c>
      <c r="BU16" s="29">
        <f>SUMIFS('2026'!$N$8:$N$185,'2026'!$K$8:$K$185,"2027",'2026'!$J$8:$J$185,"&lt;3",'2026'!$R$8:$R$185,"республика50м")</f>
        <v>0</v>
      </c>
      <c r="BV16" s="29">
        <f t="shared" si="46"/>
        <v>0</v>
      </c>
      <c r="BW16" s="63"/>
      <c r="BX16" s="63"/>
      <c r="BY16" s="36"/>
      <c r="BZ16" s="29">
        <f>COUNTIFS('2026'!$J$8:$J$185,"&lt;3",'2026'!$K$8:$K$185,"2027",'2026'!$R$8:$R$185,"область50м")</f>
        <v>0</v>
      </c>
      <c r="CA16" s="29">
        <f>SUMIFS('2026'!$N$8:$N$185,'2026'!$K$8:$K$185,"2027",'2026'!$J$8:$J$185,"&lt;3",'2026'!$R$8:$R$185,"область50м")</f>
        <v>0</v>
      </c>
      <c r="CB16" s="29">
        <f t="shared" si="48"/>
        <v>0</v>
      </c>
      <c r="CC16" s="63"/>
      <c r="CD16" s="63"/>
      <c r="CE16" s="36"/>
      <c r="CF16" s="29">
        <f>COUNTIFS('2026'!$J$8:$J$185,"&lt;3",'2026'!$K$8:$K$185,"2027",'2026'!$R$8:$R$185,"район50м")</f>
        <v>0</v>
      </c>
      <c r="CG16" s="29">
        <f>SUMIFS('2026'!$N$8:$N$185,'2026'!$K$8:$K$185,"2027",'2026'!$J$8:$J$185,"&lt;3",'2026'!$R$8:$R$185,"район50м")</f>
        <v>0</v>
      </c>
      <c r="CH16" s="30">
        <f t="shared" si="50"/>
        <v>1</v>
      </c>
      <c r="CI16" s="63"/>
      <c r="CJ16" s="63"/>
      <c r="CK16" s="36"/>
      <c r="CL16" s="29">
        <f>COUNTIFS('2026'!$J$8:$J$185,"&lt;3",'2026'!$K$8:$K$185,"2027",'2026'!$R$8:$R$185,"райпо")</f>
        <v>1</v>
      </c>
      <c r="CM16" s="29">
        <f>SUMIFS('2026'!$N$8:$N$185,'2026'!$K$8:$K$185,"2027",'2026'!$J$8:$J$185,"&lt;3",'2026'!$R$8:$R$185,"райпо")</f>
        <v>1.8</v>
      </c>
      <c r="CN16" s="43">
        <f t="shared" si="52"/>
        <v>0</v>
      </c>
      <c r="CO16" s="63"/>
      <c r="CP16" s="63"/>
      <c r="CQ16" s="36"/>
      <c r="CR16" s="29">
        <f>COUNTIFS('2026'!$J$8:$J$185,"&lt;3",'2026'!$K$8:$K$185,"2027",'2026'!$R$8:$R$185,"инаяч")</f>
        <v>0</v>
      </c>
      <c r="CS16" s="32">
        <f>SUMIFS('2026'!$N$8:$N$185,'2026'!$K$8:$K$185,"2027",'2026'!$J$8:$J$185,"&lt;3",'2026'!$R$8:$R$185,"инаяч")</f>
        <v>0</v>
      </c>
      <c r="CT16" s="44">
        <f t="shared" si="54"/>
        <v>0</v>
      </c>
      <c r="CU16" s="63"/>
      <c r="CV16" s="63"/>
      <c r="CW16" s="36"/>
      <c r="CX16" s="29">
        <f>COUNTIFS('2026'!$J$8:$J$185,"&lt;3",'2026'!$K$8:$K$185,"2027",'2026'!$R$8:$R$185,"бесхозяйное")</f>
        <v>0</v>
      </c>
      <c r="CY16" s="32">
        <f>SUMIFS('2026'!$N$8:$N$185,'2026'!$K$8:$K$185,"2027",'2026'!$J$8:$J$185,"&lt;3",'2026'!$R$8:$R$185,"бесхозяйное")</f>
        <v>0</v>
      </c>
      <c r="DB16" s="46">
        <f t="shared" si="17"/>
        <v>1</v>
      </c>
      <c r="DC16" s="38">
        <f t="shared" ref="DC16:DD19" si="74">DI16+DO16+DU16</f>
        <v>0</v>
      </c>
      <c r="DD16" s="38">
        <f t="shared" si="74"/>
        <v>0</v>
      </c>
      <c r="DE16" s="39">
        <f t="shared" si="68"/>
        <v>0</v>
      </c>
      <c r="DF16" s="47">
        <f t="shared" ref="DF16:DG19" si="75">DL16+DR16+DX16</f>
        <v>1</v>
      </c>
      <c r="DG16" s="48">
        <f t="shared" si="75"/>
        <v>3</v>
      </c>
      <c r="DH16" s="49">
        <f>AL16+BP16</f>
        <v>0</v>
      </c>
      <c r="DI16" s="47"/>
      <c r="DJ16" s="47"/>
      <c r="DK16" s="50"/>
      <c r="DL16" s="47">
        <f t="shared" ref="DL16:DN19" si="76">AP16+BT16</f>
        <v>0</v>
      </c>
      <c r="DM16" s="48">
        <f t="shared" si="76"/>
        <v>0</v>
      </c>
      <c r="DN16" s="49">
        <f t="shared" si="76"/>
        <v>0</v>
      </c>
      <c r="DO16" s="47"/>
      <c r="DP16" s="47"/>
      <c r="DQ16" s="50"/>
      <c r="DR16" s="47">
        <f t="shared" ref="DR16:DT19" si="77">AV16+BZ16</f>
        <v>0</v>
      </c>
      <c r="DS16" s="48">
        <f t="shared" si="77"/>
        <v>0</v>
      </c>
      <c r="DT16" s="49">
        <f t="shared" si="77"/>
        <v>1</v>
      </c>
      <c r="DU16" s="47"/>
      <c r="DV16" s="47"/>
      <c r="DW16" s="50"/>
      <c r="DX16" s="47">
        <f t="shared" ref="DX16:DY19" si="78">BB16+CF16</f>
        <v>1</v>
      </c>
      <c r="DY16" s="48">
        <f t="shared" si="78"/>
        <v>3</v>
      </c>
    </row>
    <row r="17" spans="1:129" s="45" customFormat="1" ht="15.75" customHeight="1" x14ac:dyDescent="0.25">
      <c r="A17" s="28" t="s">
        <v>177</v>
      </c>
      <c r="B17" s="29">
        <f t="shared" si="21"/>
        <v>5</v>
      </c>
      <c r="C17" s="30"/>
      <c r="D17" s="30"/>
      <c r="E17" s="31"/>
      <c r="F17" s="29">
        <f t="shared" si="23"/>
        <v>5</v>
      </c>
      <c r="G17" s="32">
        <f t="shared" si="23"/>
        <v>46.5</v>
      </c>
      <c r="H17" s="33">
        <f t="shared" si="24"/>
        <v>1</v>
      </c>
      <c r="I17" s="34"/>
      <c r="J17" s="34"/>
      <c r="K17" s="35"/>
      <c r="L17" s="29">
        <f t="shared" si="63"/>
        <v>1</v>
      </c>
      <c r="M17" s="32">
        <f t="shared" si="63"/>
        <v>25</v>
      </c>
      <c r="N17" s="33">
        <f t="shared" si="26"/>
        <v>0</v>
      </c>
      <c r="O17" s="63"/>
      <c r="P17" s="63"/>
      <c r="Q17" s="36"/>
      <c r="R17" s="29">
        <f>COUNTIFS('2026'!$J$8:$J$185,"3",'2026'!$K$8:$K$185,"2027",'2026'!$R$8:$R$185,"республика")</f>
        <v>0</v>
      </c>
      <c r="S17" s="29">
        <f>SUMIFS('2026'!$N$8:$N$185,'2026'!$K$8:$K$185,"2027",'2026'!$J$8:$J$185,"3",'2026'!$R$8:$R$185,"республика")</f>
        <v>0</v>
      </c>
      <c r="T17" s="29">
        <f t="shared" si="28"/>
        <v>0</v>
      </c>
      <c r="U17" s="63"/>
      <c r="V17" s="63"/>
      <c r="W17" s="36"/>
      <c r="X17" s="29">
        <f>COUNTIFS('2026'!$J$8:$J$185,"3",'2026'!$K$8:$K$185,"2027",'2026'!$R$8:$R$185,"область")</f>
        <v>0</v>
      </c>
      <c r="Y17" s="29">
        <f>SUMIFS('2026'!$N$8:$N$185,'2026'!$K$8:$K$185,"2027",'2026'!$J$8:$J$185,"3",'2026'!$R$8:$R$185,"область")</f>
        <v>0</v>
      </c>
      <c r="Z17" s="29">
        <f t="shared" si="30"/>
        <v>1</v>
      </c>
      <c r="AA17" s="63"/>
      <c r="AB17" s="63"/>
      <c r="AC17" s="36"/>
      <c r="AD17" s="29">
        <f>COUNTIFS('2026'!$J$8:$J$185,"3",'2026'!$K$8:$K$185,"2027",'2026'!$R$8:$R$185,"район")</f>
        <v>1</v>
      </c>
      <c r="AE17" s="32">
        <f>SUMIFS('2026'!$N$8:$N$185,'2026'!$K$8:$K$185,"2027",'2026'!$J$8:$J$185,"3",'2026'!$R$8:$R$185,"район")</f>
        <v>25</v>
      </c>
      <c r="AF17" s="37">
        <f t="shared" si="32"/>
        <v>3</v>
      </c>
      <c r="AG17" s="38"/>
      <c r="AH17" s="38"/>
      <c r="AI17" s="39"/>
      <c r="AJ17" s="29">
        <f>AP17+AV17+BB17</f>
        <v>3</v>
      </c>
      <c r="AK17" s="32">
        <f t="shared" si="64"/>
        <v>18</v>
      </c>
      <c r="AL17" s="37">
        <f t="shared" si="34"/>
        <v>0</v>
      </c>
      <c r="AM17" s="63"/>
      <c r="AN17" s="63"/>
      <c r="AO17" s="36"/>
      <c r="AP17" s="29">
        <f>COUNTIFS('2026'!$J$8:$J$185,"3",'2026'!$K$8:$K$185,"2027",'2026'!$R$8:$R$185,"республика50б")</f>
        <v>0</v>
      </c>
      <c r="AQ17" s="29">
        <f>SUMIFS('2026'!$N$8:$N$185,'2026'!$K$8:$K$185,"2027",'2026'!$J$8:$J$185,"3",'2026'!$R$8:$R$185,"республика50б")</f>
        <v>0</v>
      </c>
      <c r="AR17" s="29">
        <f t="shared" si="36"/>
        <v>0</v>
      </c>
      <c r="AS17" s="63"/>
      <c r="AT17" s="63"/>
      <c r="AU17" s="36"/>
      <c r="AV17" s="29">
        <f>COUNTIFS('2026'!$J$8:$J$185,"3",'2026'!$K$8:$K$185,"2027",'2026'!$R$8:$R$185,"область50б")</f>
        <v>0</v>
      </c>
      <c r="AW17" s="29">
        <f>SUMIFS('2026'!$N$8:$N$185,'2026'!$K$8:$K$185,"2027",'2026'!$J$8:$J$185,"3",'2026'!$R$8:$R$185,"область50б")</f>
        <v>0</v>
      </c>
      <c r="AX17" s="29">
        <f t="shared" si="38"/>
        <v>3</v>
      </c>
      <c r="AY17" s="63"/>
      <c r="AZ17" s="63"/>
      <c r="BA17" s="36"/>
      <c r="BB17" s="29">
        <f>COUNTIFS('2026'!$J$8:$J$185,"3",'2026'!$K$8:$K$185,"2027",'2026'!$R$8:$R$185,"район50б")</f>
        <v>3</v>
      </c>
      <c r="BC17" s="32">
        <f>SUMIFS('2026'!$N$8:$N$185,'2026'!$K$8:$K$185,"2027",'2026'!$J$8:$J$185,"3",'2026'!$R$8:$R$185,"район50б")</f>
        <v>18</v>
      </c>
      <c r="BD17" s="37">
        <f t="shared" si="40"/>
        <v>1</v>
      </c>
      <c r="BE17" s="40">
        <f t="shared" si="41"/>
        <v>0</v>
      </c>
      <c r="BF17" s="40">
        <f t="shared" si="41"/>
        <v>0</v>
      </c>
      <c r="BG17" s="41"/>
      <c r="BH17" s="29">
        <f t="shared" si="73"/>
        <v>1</v>
      </c>
      <c r="BI17" s="32">
        <f t="shared" si="66"/>
        <v>3.5</v>
      </c>
      <c r="BJ17" s="37">
        <f t="shared" si="42"/>
        <v>0</v>
      </c>
      <c r="BK17" s="42"/>
      <c r="BL17" s="42"/>
      <c r="BM17" s="41"/>
      <c r="BN17" s="29">
        <f t="shared" si="65"/>
        <v>0</v>
      </c>
      <c r="BO17" s="29">
        <f t="shared" si="65"/>
        <v>0</v>
      </c>
      <c r="BP17" s="29">
        <f t="shared" si="44"/>
        <v>0</v>
      </c>
      <c r="BQ17" s="63"/>
      <c r="BR17" s="63"/>
      <c r="BS17" s="36"/>
      <c r="BT17" s="29">
        <f>COUNTIFS('2026'!$J$8:$J$185,"3",'2026'!$K$8:$K$185,"2027",'2026'!$R$8:$R$185,"республика50м")</f>
        <v>0</v>
      </c>
      <c r="BU17" s="29">
        <f>SUMIFS('2026'!$N$8:$N$185,'2026'!$K$8:$K$185,"2027",'2026'!$J$8:$J$185,"3",'2026'!$R$8:$R$185,"республика50м")</f>
        <v>0</v>
      </c>
      <c r="BV17" s="29">
        <f t="shared" si="46"/>
        <v>0</v>
      </c>
      <c r="BW17" s="63"/>
      <c r="BX17" s="63"/>
      <c r="BY17" s="36"/>
      <c r="BZ17" s="29">
        <f>COUNTIFS('2026'!$J$8:$J$185,"3",'2026'!$K$8:$K$185,"2027",'2026'!$R$8:$R$185,"область50м")</f>
        <v>0</v>
      </c>
      <c r="CA17" s="29">
        <f>SUMIFS('2026'!$N$8:$N$185,'2026'!$K$8:$K$185,"2027",'2026'!$J$8:$J$185,"3",'2026'!$R$8:$R$185,"область50м")</f>
        <v>0</v>
      </c>
      <c r="CB17" s="29">
        <f t="shared" si="48"/>
        <v>0</v>
      </c>
      <c r="CC17" s="63"/>
      <c r="CD17" s="63"/>
      <c r="CE17" s="36"/>
      <c r="CF17" s="29">
        <f>COUNTIFS('2026'!$J$8:$J$185,"3",'2026'!$K$8:$K$185,"2027",'2026'!$R$8:$R$185,"район50м")</f>
        <v>0</v>
      </c>
      <c r="CG17" s="29">
        <f>SUMIFS('2026'!$N$8:$N$185,'2026'!$K$8:$K$185,"2027",'2026'!$J$8:$J$185,"3",'2026'!$R$8:$R$185,"район50м")</f>
        <v>0</v>
      </c>
      <c r="CH17" s="30">
        <f t="shared" si="50"/>
        <v>1</v>
      </c>
      <c r="CI17" s="63"/>
      <c r="CJ17" s="63"/>
      <c r="CK17" s="36"/>
      <c r="CL17" s="29">
        <f>COUNTIFS('2026'!$J$8:$J$185,"3",'2026'!$K$8:$K$185,"2027",'2026'!$R$8:$R$185,"райпо")</f>
        <v>1</v>
      </c>
      <c r="CM17" s="29">
        <f>SUMIFS('2026'!$N$8:$N$185,'2026'!$K$8:$K$185,"2027",'2026'!$J$8:$J$185,"3",'2026'!$R$8:$R$185,"райпо")</f>
        <v>3.5</v>
      </c>
      <c r="CN17" s="43">
        <f t="shared" si="52"/>
        <v>0</v>
      </c>
      <c r="CO17" s="63"/>
      <c r="CP17" s="63"/>
      <c r="CQ17" s="36"/>
      <c r="CR17" s="29">
        <f>COUNTIFS('2026'!$J$8:$J$185,"3",'2026'!$K$8:$K$185,"2027",'2026'!$R$8:$R$185,"инаяч")</f>
        <v>0</v>
      </c>
      <c r="CS17" s="32">
        <f>SUMIFS('2026'!$N$8:$N$185,'2026'!$K$8:$K$185,"2027",'2026'!$J$8:$J$185,"3",'2026'!$R$8:$R$185,"инаяч")</f>
        <v>0</v>
      </c>
      <c r="CT17" s="44">
        <f t="shared" si="54"/>
        <v>0</v>
      </c>
      <c r="CU17" s="63"/>
      <c r="CV17" s="63"/>
      <c r="CW17" s="36"/>
      <c r="CX17" s="29">
        <f>COUNTIFS('2026'!$J$8:$J$185,"3",'2026'!$K$8:$K$185,"2027",'2026'!$R$8:$R$185,"бесхозяйное")</f>
        <v>0</v>
      </c>
      <c r="CY17" s="32">
        <f>SUMIFS('2026'!$N$8:$N$185,'2026'!$K$8:$K$185,"2027",'2026'!$J$8:$J$185,"3",'2026'!$R$8:$R$185,"бесхозяйное")</f>
        <v>0</v>
      </c>
      <c r="DB17" s="46">
        <f t="shared" si="17"/>
        <v>3</v>
      </c>
      <c r="DC17" s="38">
        <f t="shared" si="74"/>
        <v>0</v>
      </c>
      <c r="DD17" s="38">
        <f t="shared" si="74"/>
        <v>0</v>
      </c>
      <c r="DE17" s="39">
        <f t="shared" si="68"/>
        <v>0</v>
      </c>
      <c r="DF17" s="47">
        <f t="shared" si="75"/>
        <v>3</v>
      </c>
      <c r="DG17" s="48">
        <f t="shared" si="75"/>
        <v>18</v>
      </c>
      <c r="DH17" s="49">
        <f>AL17+BP17</f>
        <v>0</v>
      </c>
      <c r="DI17" s="47"/>
      <c r="DJ17" s="47"/>
      <c r="DK17" s="50"/>
      <c r="DL17" s="47">
        <f t="shared" si="76"/>
        <v>0</v>
      </c>
      <c r="DM17" s="48">
        <f t="shared" si="76"/>
        <v>0</v>
      </c>
      <c r="DN17" s="49">
        <f t="shared" si="76"/>
        <v>0</v>
      </c>
      <c r="DO17" s="47"/>
      <c r="DP17" s="47"/>
      <c r="DQ17" s="50"/>
      <c r="DR17" s="47">
        <f t="shared" si="77"/>
        <v>0</v>
      </c>
      <c r="DS17" s="48">
        <f t="shared" si="77"/>
        <v>0</v>
      </c>
      <c r="DT17" s="49">
        <f t="shared" si="77"/>
        <v>3</v>
      </c>
      <c r="DU17" s="47"/>
      <c r="DV17" s="47"/>
      <c r="DW17" s="50"/>
      <c r="DX17" s="47">
        <f t="shared" si="78"/>
        <v>3</v>
      </c>
      <c r="DY17" s="48">
        <f t="shared" si="78"/>
        <v>18</v>
      </c>
    </row>
    <row r="18" spans="1:129" s="45" customFormat="1" ht="15.75" customHeight="1" x14ac:dyDescent="0.25">
      <c r="A18" s="28" t="s">
        <v>178</v>
      </c>
      <c r="B18" s="29">
        <f t="shared" si="21"/>
        <v>2</v>
      </c>
      <c r="C18" s="30"/>
      <c r="D18" s="30"/>
      <c r="E18" s="31"/>
      <c r="F18" s="29">
        <f t="shared" si="23"/>
        <v>2</v>
      </c>
      <c r="G18" s="32">
        <f t="shared" si="23"/>
        <v>5.9</v>
      </c>
      <c r="H18" s="33">
        <f t="shared" si="24"/>
        <v>0</v>
      </c>
      <c r="I18" s="34"/>
      <c r="J18" s="34"/>
      <c r="K18" s="35"/>
      <c r="L18" s="29">
        <f t="shared" si="63"/>
        <v>0</v>
      </c>
      <c r="M18" s="32">
        <f t="shared" si="63"/>
        <v>0</v>
      </c>
      <c r="N18" s="33">
        <f t="shared" si="26"/>
        <v>0</v>
      </c>
      <c r="O18" s="63"/>
      <c r="P18" s="63"/>
      <c r="Q18" s="36"/>
      <c r="R18" s="29">
        <f>COUNTIFS('2026'!$J$8:$J$185,"4",'2026'!$K$8:$K$185,"2027",'2026'!$R$8:$R$185,"республика")</f>
        <v>0</v>
      </c>
      <c r="S18" s="29">
        <f>SUMIFS('2026'!$N$8:$N$185,'2026'!$K$8:$K$185,"2027",'2026'!$J$8:$J$185,"4",'2026'!$R$8:$R$185,"республика")</f>
        <v>0</v>
      </c>
      <c r="T18" s="29">
        <f t="shared" si="28"/>
        <v>0</v>
      </c>
      <c r="U18" s="63"/>
      <c r="V18" s="63"/>
      <c r="W18" s="36"/>
      <c r="X18" s="29">
        <f>COUNTIFS('2026'!$J$8:$J$185,"4",'2026'!$K$8:$K$185,"2027",'2026'!$R$8:$R$185,"область")</f>
        <v>0</v>
      </c>
      <c r="Y18" s="29">
        <f>SUMIFS('2026'!$N$8:$N$185,'2026'!$K$8:$K$185,"2027",'2026'!$J$8:$J$185,"4",'2026'!$R$8:$R$185,"область")</f>
        <v>0</v>
      </c>
      <c r="Z18" s="29">
        <f t="shared" si="30"/>
        <v>0</v>
      </c>
      <c r="AA18" s="63"/>
      <c r="AB18" s="63"/>
      <c r="AC18" s="36"/>
      <c r="AD18" s="29">
        <f>COUNTIFS('2026'!$J$8:$J$185,"4",'2026'!$K$8:$K$185,"2027",'2026'!$R$8:$R$185,"район")</f>
        <v>0</v>
      </c>
      <c r="AE18" s="32">
        <f>SUMIFS('2026'!$N$8:$N$185,'2026'!$K$8:$K$185,"2027",'2026'!$J$8:$J$185,"4",'2026'!$R$8:$R$185,"район")</f>
        <v>0</v>
      </c>
      <c r="AF18" s="37">
        <f t="shared" si="32"/>
        <v>2</v>
      </c>
      <c r="AG18" s="38"/>
      <c r="AH18" s="38"/>
      <c r="AI18" s="39"/>
      <c r="AJ18" s="29">
        <f>AP18+AV18+BB18</f>
        <v>2</v>
      </c>
      <c r="AK18" s="32">
        <f t="shared" si="64"/>
        <v>5.9</v>
      </c>
      <c r="AL18" s="37">
        <f t="shared" si="34"/>
        <v>0</v>
      </c>
      <c r="AM18" s="63"/>
      <c r="AN18" s="63"/>
      <c r="AO18" s="36"/>
      <c r="AP18" s="29">
        <f>COUNTIFS('2026'!$J$8:$J$185,"4",'2026'!$K$8:$K$185,"2027",'2026'!$R$8:$R$185,"республика50б")</f>
        <v>0</v>
      </c>
      <c r="AQ18" s="29">
        <f>SUMIFS('2026'!$N$8:$N$185,'2026'!$K$8:$K$185,"2027",'2026'!$J$8:$J$185,"4",'2026'!$R$8:$R$185,"республика50б")</f>
        <v>0</v>
      </c>
      <c r="AR18" s="29">
        <f t="shared" si="36"/>
        <v>1</v>
      </c>
      <c r="AS18" s="63"/>
      <c r="AT18" s="63"/>
      <c r="AU18" s="36"/>
      <c r="AV18" s="29">
        <f>COUNTIFS('2026'!$J$8:$J$185,"4",'2026'!$K$8:$K$185,"2027",'2026'!$R$8:$R$185,"область50б")</f>
        <v>1</v>
      </c>
      <c r="AW18" s="29">
        <f>SUMIFS('2026'!$N$8:$N$185,'2026'!$K$8:$K$185,"2027",'2026'!$J$8:$J$185,"4",'2026'!$R$8:$R$185,"область50б")</f>
        <v>3.5</v>
      </c>
      <c r="AX18" s="29">
        <f t="shared" si="38"/>
        <v>1</v>
      </c>
      <c r="AY18" s="63"/>
      <c r="AZ18" s="63"/>
      <c r="BA18" s="36"/>
      <c r="BB18" s="29">
        <f>COUNTIFS('2026'!$J$8:$J$185,"4",'2026'!$K$8:$K$185,"2027",'2026'!$R$8:$R$185,"район50б")</f>
        <v>1</v>
      </c>
      <c r="BC18" s="32">
        <f>SUMIFS('2026'!$N$8:$N$185,'2026'!$K$8:$K$185,"2027",'2026'!$J$8:$J$185,"4",'2026'!$R$8:$R$185,"район50б")</f>
        <v>2.4</v>
      </c>
      <c r="BD18" s="37">
        <f t="shared" si="40"/>
        <v>0</v>
      </c>
      <c r="BE18" s="40">
        <f t="shared" si="41"/>
        <v>0</v>
      </c>
      <c r="BF18" s="40">
        <f t="shared" si="41"/>
        <v>0</v>
      </c>
      <c r="BG18" s="41"/>
      <c r="BH18" s="29">
        <f t="shared" si="73"/>
        <v>0</v>
      </c>
      <c r="BI18" s="32">
        <f t="shared" si="66"/>
        <v>0</v>
      </c>
      <c r="BJ18" s="37">
        <f t="shared" si="42"/>
        <v>0</v>
      </c>
      <c r="BK18" s="42"/>
      <c r="BL18" s="42"/>
      <c r="BM18" s="41"/>
      <c r="BN18" s="29">
        <f t="shared" si="65"/>
        <v>0</v>
      </c>
      <c r="BO18" s="29">
        <f t="shared" si="65"/>
        <v>0</v>
      </c>
      <c r="BP18" s="29">
        <f t="shared" si="44"/>
        <v>0</v>
      </c>
      <c r="BQ18" s="63"/>
      <c r="BR18" s="63"/>
      <c r="BS18" s="36"/>
      <c r="BT18" s="29">
        <f>COUNTIFS('2026'!$J$8:$J$185,"4",'2026'!$K$8:$K$185,"2027",'2026'!$R$8:$R$185,"республика50м")</f>
        <v>0</v>
      </c>
      <c r="BU18" s="29">
        <f>SUMIFS('2026'!$N$8:$N$185,'2026'!$K$8:$K$185,"2027",'2026'!$J$8:$J$185,"4",'2026'!$R$8:$R$185,"республика50м")</f>
        <v>0</v>
      </c>
      <c r="BV18" s="29">
        <f t="shared" si="46"/>
        <v>0</v>
      </c>
      <c r="BW18" s="63"/>
      <c r="BX18" s="63"/>
      <c r="BY18" s="36"/>
      <c r="BZ18" s="29">
        <f>COUNTIFS('2026'!$J$8:$J$185,"4",'2026'!$K$8:$K$185,"2027",'2026'!$R$8:$R$185,"область50м")</f>
        <v>0</v>
      </c>
      <c r="CA18" s="29">
        <f>SUMIFS('2026'!$N$8:$N$185,'2026'!$K$8:$K$185,"2027",'2026'!$J$8:$J$185,"4",'2026'!$R$8:$R$185,"область50м")</f>
        <v>0</v>
      </c>
      <c r="CB18" s="29">
        <f t="shared" si="48"/>
        <v>0</v>
      </c>
      <c r="CC18" s="63"/>
      <c r="CD18" s="63"/>
      <c r="CE18" s="36"/>
      <c r="CF18" s="29">
        <f>COUNTIFS('2026'!$J$8:$J$185,"4",'2026'!$K$8:$K$185,"2027",'2026'!$R$8:$R$185,"район50м")</f>
        <v>0</v>
      </c>
      <c r="CG18" s="29">
        <f>SUMIFS('2026'!$N$8:$N$185,'2026'!$K$8:$K$185,"2027",'2026'!$J$8:$J$185,"4",'2026'!$R$8:$R$185,"район50м")</f>
        <v>0</v>
      </c>
      <c r="CH18" s="30">
        <f t="shared" si="50"/>
        <v>0</v>
      </c>
      <c r="CI18" s="63"/>
      <c r="CJ18" s="63"/>
      <c r="CK18" s="36"/>
      <c r="CL18" s="29">
        <f>COUNTIFS('2026'!$J$8:$J$185,"4",'2026'!$K$8:$K$185,"2027",'2026'!$R$8:$R$185,"райпо")</f>
        <v>0</v>
      </c>
      <c r="CM18" s="29">
        <f>SUMIFS('2026'!$N$8:$N$185,'2026'!$K$8:$K$185,"2027",'2026'!$J$8:$J$185,"4",'2026'!$R$8:$R$185,"райпо")</f>
        <v>0</v>
      </c>
      <c r="CN18" s="43">
        <f t="shared" si="52"/>
        <v>0</v>
      </c>
      <c r="CO18" s="63"/>
      <c r="CP18" s="63"/>
      <c r="CQ18" s="36"/>
      <c r="CR18" s="29">
        <f>COUNTIFS('2026'!$J$8:$J$185,"4",'2026'!$K$8:$K$185,"2027",'2026'!$R$8:$R$185,"инаяч")</f>
        <v>0</v>
      </c>
      <c r="CS18" s="32">
        <f>SUMIFS('2026'!$N$8:$N$185,'2026'!$K$8:$K$185,"2027",'2026'!$J$8:$J$185,"4",'2026'!$R$8:$R$185,"инаяч")</f>
        <v>0</v>
      </c>
      <c r="CT18" s="44">
        <f t="shared" si="54"/>
        <v>0</v>
      </c>
      <c r="CU18" s="63"/>
      <c r="CV18" s="63"/>
      <c r="CW18" s="36"/>
      <c r="CX18" s="29">
        <f>COUNTIFS('2026'!$J$8:$J$185,"4",'2026'!$K$8:$K$185,"2027",'2026'!$R$8:$R$185,"бесхозяйное")</f>
        <v>0</v>
      </c>
      <c r="CY18" s="32">
        <f>SUMIFS('2026'!$N$8:$N$185,'2026'!$K$8:$K$185,"2027",'2026'!$J$8:$J$185,"4",'2026'!$R$8:$R$185,"бесхозяйное")</f>
        <v>0</v>
      </c>
      <c r="DB18" s="46">
        <f t="shared" si="17"/>
        <v>2</v>
      </c>
      <c r="DC18" s="38">
        <f t="shared" si="74"/>
        <v>0</v>
      </c>
      <c r="DD18" s="38">
        <f t="shared" si="74"/>
        <v>0</v>
      </c>
      <c r="DE18" s="39">
        <f t="shared" si="68"/>
        <v>0</v>
      </c>
      <c r="DF18" s="47">
        <f t="shared" si="75"/>
        <v>2</v>
      </c>
      <c r="DG18" s="48">
        <f t="shared" si="75"/>
        <v>5.9</v>
      </c>
      <c r="DH18" s="49">
        <f>AL18+BP18</f>
        <v>0</v>
      </c>
      <c r="DI18" s="47"/>
      <c r="DJ18" s="47"/>
      <c r="DK18" s="50"/>
      <c r="DL18" s="47">
        <f t="shared" si="76"/>
        <v>0</v>
      </c>
      <c r="DM18" s="48">
        <f t="shared" si="76"/>
        <v>0</v>
      </c>
      <c r="DN18" s="49">
        <f t="shared" si="76"/>
        <v>1</v>
      </c>
      <c r="DO18" s="47"/>
      <c r="DP18" s="47"/>
      <c r="DQ18" s="50"/>
      <c r="DR18" s="47">
        <f t="shared" si="77"/>
        <v>1</v>
      </c>
      <c r="DS18" s="48">
        <f t="shared" si="77"/>
        <v>3.5</v>
      </c>
      <c r="DT18" s="49">
        <f t="shared" si="77"/>
        <v>1</v>
      </c>
      <c r="DU18" s="47"/>
      <c r="DV18" s="47"/>
      <c r="DW18" s="50"/>
      <c r="DX18" s="47">
        <f t="shared" si="78"/>
        <v>1</v>
      </c>
      <c r="DY18" s="48">
        <f t="shared" si="78"/>
        <v>2.4</v>
      </c>
    </row>
    <row r="19" spans="1:129" s="45" customFormat="1" ht="15.75" customHeight="1" x14ac:dyDescent="0.25">
      <c r="A19" s="28" t="s">
        <v>179</v>
      </c>
      <c r="B19" s="29">
        <f t="shared" si="21"/>
        <v>1</v>
      </c>
      <c r="C19" s="30"/>
      <c r="D19" s="30"/>
      <c r="E19" s="31"/>
      <c r="F19" s="29">
        <f t="shared" si="23"/>
        <v>1</v>
      </c>
      <c r="G19" s="32">
        <f t="shared" si="23"/>
        <v>3</v>
      </c>
      <c r="H19" s="33">
        <f t="shared" si="24"/>
        <v>1</v>
      </c>
      <c r="I19" s="34"/>
      <c r="J19" s="34"/>
      <c r="K19" s="35"/>
      <c r="L19" s="29">
        <f t="shared" si="63"/>
        <v>1</v>
      </c>
      <c r="M19" s="32">
        <f t="shared" si="63"/>
        <v>3</v>
      </c>
      <c r="N19" s="33">
        <f t="shared" si="26"/>
        <v>0</v>
      </c>
      <c r="O19" s="63"/>
      <c r="P19" s="63"/>
      <c r="Q19" s="36"/>
      <c r="R19" s="29">
        <f>COUNTIFS('2026'!$J$8:$J$185,"&gt;4",'2026'!$K$8:$K$185,"2027",'2026'!$R$8:$R$185,"республика")</f>
        <v>0</v>
      </c>
      <c r="S19" s="29">
        <f>SUMIFS('2026'!$N$8:$N$185,'2026'!$K$8:$K$185,"2027",'2026'!$J$8:$J$185,"&gt;4",'2026'!$R$8:$R$185,"республика")</f>
        <v>0</v>
      </c>
      <c r="T19" s="29">
        <f t="shared" si="28"/>
        <v>0</v>
      </c>
      <c r="U19" s="63"/>
      <c r="V19" s="63"/>
      <c r="W19" s="36"/>
      <c r="X19" s="29">
        <f>COUNTIFS('2026'!$J$8:$J$185,"&gt;4",'2026'!$K$8:$K$185,"2027",'2026'!$R$8:$R$185,"область")</f>
        <v>0</v>
      </c>
      <c r="Y19" s="29">
        <f>SUMIFS('2026'!$N$8:$N$185,'2026'!$K$8:$K$185,"2027",'2026'!$J$8:$J$185,"&gt;4",'2026'!$R$8:$R$185,"область")</f>
        <v>0</v>
      </c>
      <c r="Z19" s="29">
        <f t="shared" si="30"/>
        <v>1</v>
      </c>
      <c r="AA19" s="63"/>
      <c r="AB19" s="63"/>
      <c r="AC19" s="36"/>
      <c r="AD19" s="29">
        <f>COUNTIFS('2026'!$J$8:$J$185,"&gt;4",'2026'!$K$8:$K$185,"2027",'2026'!$R$8:$R$185,"район")</f>
        <v>1</v>
      </c>
      <c r="AE19" s="32">
        <f>SUMIFS('2026'!$N$8:$N$185,'2026'!$K$8:$K$185,"2027",'2026'!$J$8:$J$185,"&gt;4",'2026'!$R$8:$R$185,"район")</f>
        <v>3</v>
      </c>
      <c r="AF19" s="37">
        <f t="shared" si="32"/>
        <v>0</v>
      </c>
      <c r="AG19" s="38"/>
      <c r="AH19" s="38"/>
      <c r="AI19" s="39"/>
      <c r="AJ19" s="29">
        <f>AP19+AV19+BB19</f>
        <v>0</v>
      </c>
      <c r="AK19" s="32">
        <f t="shared" si="64"/>
        <v>0</v>
      </c>
      <c r="AL19" s="37">
        <f t="shared" si="34"/>
        <v>0</v>
      </c>
      <c r="AM19" s="63"/>
      <c r="AN19" s="63"/>
      <c r="AO19" s="36"/>
      <c r="AP19" s="29">
        <f>COUNTIFS('2026'!$J$8:$J$185,"&gt;4",'2026'!$K$8:$K$185,"2027",'2026'!$R$8:$R$185,"республика50б")</f>
        <v>0</v>
      </c>
      <c r="AQ19" s="29">
        <f>SUMIFS('2026'!$N$8:$N$185,'2026'!$K$8:$K$185,"2027",'2026'!$J$8:$J$185,"&gt;4",'2026'!$R$8:$R$185,"республика50б")</f>
        <v>0</v>
      </c>
      <c r="AR19" s="29">
        <f t="shared" si="36"/>
        <v>0</v>
      </c>
      <c r="AS19" s="63"/>
      <c r="AT19" s="63"/>
      <c r="AU19" s="36"/>
      <c r="AV19" s="29">
        <f>COUNTIFS('2026'!$J$8:$J$185,"&gt;4",'2026'!$K$8:$K$185,"2027",'2026'!$R$8:$R$185,"область50б")</f>
        <v>0</v>
      </c>
      <c r="AW19" s="29">
        <f>SUMIFS('2026'!$N$8:$N$185,'2026'!$K$8:$K$185,"2027",'2026'!$J$8:$J$185,"&gt;4",'2026'!$R$8:$R$185,"область50б")</f>
        <v>0</v>
      </c>
      <c r="AX19" s="29">
        <f t="shared" si="38"/>
        <v>0</v>
      </c>
      <c r="AY19" s="63"/>
      <c r="AZ19" s="63"/>
      <c r="BA19" s="36"/>
      <c r="BB19" s="29">
        <f>COUNTIFS('2026'!$J$8:$J$185,"&gt;4",'2026'!$K$8:$K$185,"2027",'2026'!$R$8:$R$185,"район50б")</f>
        <v>0</v>
      </c>
      <c r="BC19" s="32">
        <f>SUMIFS('2026'!$N$8:$N$185,'2026'!$K$8:$K$185,"2027",'2026'!$J$8:$J$185,"&gt;4",'2026'!$R$8:$R$185,"район50б")</f>
        <v>0</v>
      </c>
      <c r="BD19" s="37">
        <f t="shared" si="40"/>
        <v>0</v>
      </c>
      <c r="BE19" s="40">
        <f t="shared" si="41"/>
        <v>0</v>
      </c>
      <c r="BF19" s="40">
        <f t="shared" si="41"/>
        <v>0</v>
      </c>
      <c r="BG19" s="41"/>
      <c r="BH19" s="29">
        <f t="shared" si="73"/>
        <v>0</v>
      </c>
      <c r="BI19" s="32">
        <f t="shared" si="66"/>
        <v>0</v>
      </c>
      <c r="BJ19" s="37">
        <f t="shared" si="42"/>
        <v>0</v>
      </c>
      <c r="BK19" s="42"/>
      <c r="BL19" s="42"/>
      <c r="BM19" s="41"/>
      <c r="BN19" s="29">
        <f t="shared" si="65"/>
        <v>0</v>
      </c>
      <c r="BO19" s="29">
        <f t="shared" si="65"/>
        <v>0</v>
      </c>
      <c r="BP19" s="29">
        <f t="shared" si="44"/>
        <v>0</v>
      </c>
      <c r="BQ19" s="63"/>
      <c r="BR19" s="63"/>
      <c r="BS19" s="36"/>
      <c r="BT19" s="29">
        <f>COUNTIFS('2026'!$J$8:$J$185,"&gt;4",'2026'!$K$8:$K$185,"2027",'2026'!$R$8:$R$185,"республика50м")</f>
        <v>0</v>
      </c>
      <c r="BU19" s="29">
        <f>SUMIFS('2026'!$N$8:$N$185,'2026'!$K$8:$K$185,"2027",'2026'!$J$8:$J$185,"&gt;4",'2026'!$R$8:$R$185,"республика50м")</f>
        <v>0</v>
      </c>
      <c r="BV19" s="29">
        <f t="shared" si="46"/>
        <v>0</v>
      </c>
      <c r="BW19" s="63"/>
      <c r="BX19" s="63"/>
      <c r="BY19" s="36"/>
      <c r="BZ19" s="29">
        <f>COUNTIFS('2026'!$J$8:$J$185,"&gt;4",'2026'!$K$8:$K$185,"2027",'2026'!$R$8:$R$185,"область50м")</f>
        <v>0</v>
      </c>
      <c r="CA19" s="29">
        <f>SUMIFS('2026'!$N$8:$N$185,'2026'!$K$8:$K$185,"2027",'2026'!$J$8:$J$185,"&gt;4",'2026'!$R$8:$R$185,"область50м")</f>
        <v>0</v>
      </c>
      <c r="CB19" s="29">
        <f t="shared" si="48"/>
        <v>0</v>
      </c>
      <c r="CC19" s="63"/>
      <c r="CD19" s="63"/>
      <c r="CE19" s="36"/>
      <c r="CF19" s="29">
        <f>COUNTIFS('2026'!$J$8:$J$185,"&gt;4",'2026'!$K$8:$K$185,"2027",'2026'!$R$8:$R$185,"район50м")</f>
        <v>0</v>
      </c>
      <c r="CG19" s="29">
        <f>SUMIFS('2026'!$N$8:$N$185,'2026'!$K$8:$K$185,"2027",'2026'!$J$8:$J$185,"&gt;4",'2026'!$R$8:$R$185,"район50м")</f>
        <v>0</v>
      </c>
      <c r="CH19" s="30">
        <f t="shared" si="50"/>
        <v>0</v>
      </c>
      <c r="CI19" s="63"/>
      <c r="CJ19" s="63"/>
      <c r="CK19" s="36"/>
      <c r="CL19" s="29">
        <f>COUNTIFS('2026'!$J$8:$J$185,"&gt;4",'2026'!$K$8:$K$185,"2027",'2026'!$R$8:$R$185,"райпо")</f>
        <v>0</v>
      </c>
      <c r="CM19" s="29">
        <f>SUMIFS('2026'!$N$8:$N$185,'2026'!$K$8:$K$185,"2027",'2026'!$J$8:$J$185,"&gt;4",'2026'!$R$8:$R$185,"райпо")</f>
        <v>0</v>
      </c>
      <c r="CN19" s="43">
        <f t="shared" si="52"/>
        <v>0</v>
      </c>
      <c r="CO19" s="63"/>
      <c r="CP19" s="63"/>
      <c r="CQ19" s="36"/>
      <c r="CR19" s="29">
        <f>COUNTIFS('2026'!$J$8:$J$185,"&gt;4",'2026'!$K$8:$K$185,"2027",'2026'!$R$8:$R$185,"инаяч")</f>
        <v>0</v>
      </c>
      <c r="CS19" s="32">
        <f>SUMIFS('2026'!$N$8:$N$185,'2026'!$K$8:$K$185,"2027",'2026'!$J$8:$J$185,"&gt;4",'2026'!$R$8:$R$185,"инаяч")</f>
        <v>0</v>
      </c>
      <c r="CT19" s="44">
        <f t="shared" si="54"/>
        <v>0</v>
      </c>
      <c r="CU19" s="63"/>
      <c r="CV19" s="63"/>
      <c r="CW19" s="36"/>
      <c r="CX19" s="29">
        <f>COUNTIFS('2026'!$J$8:$J$185,"&gt;4",'2026'!$K$8:$K$185,"2027",'2026'!$R$8:$R$185,"бесхозяйное")</f>
        <v>0</v>
      </c>
      <c r="CY19" s="32">
        <f>SUMIFS('2026'!$N$8:$N$185,'2026'!$K$8:$K$185,"2027",'2026'!$J$8:$J$185,"&gt;4",'2026'!$R$8:$R$185,"бесхозяйное")</f>
        <v>0</v>
      </c>
      <c r="DB19" s="46">
        <f t="shared" si="17"/>
        <v>0</v>
      </c>
      <c r="DC19" s="38">
        <f t="shared" si="74"/>
        <v>0</v>
      </c>
      <c r="DD19" s="38">
        <f t="shared" si="74"/>
        <v>0</v>
      </c>
      <c r="DE19" s="39">
        <f t="shared" si="68"/>
        <v>0</v>
      </c>
      <c r="DF19" s="47">
        <f t="shared" si="75"/>
        <v>0</v>
      </c>
      <c r="DG19" s="48">
        <f t="shared" si="75"/>
        <v>0</v>
      </c>
      <c r="DH19" s="49">
        <f>AL19+BP19</f>
        <v>0</v>
      </c>
      <c r="DI19" s="47"/>
      <c r="DJ19" s="47"/>
      <c r="DK19" s="50"/>
      <c r="DL19" s="47">
        <f t="shared" si="76"/>
        <v>0</v>
      </c>
      <c r="DM19" s="48">
        <f t="shared" si="76"/>
        <v>0</v>
      </c>
      <c r="DN19" s="49">
        <f t="shared" si="76"/>
        <v>0</v>
      </c>
      <c r="DO19" s="47"/>
      <c r="DP19" s="47"/>
      <c r="DQ19" s="50"/>
      <c r="DR19" s="47">
        <f t="shared" si="77"/>
        <v>0</v>
      </c>
      <c r="DS19" s="48">
        <f t="shared" si="77"/>
        <v>0</v>
      </c>
      <c r="DT19" s="49">
        <f t="shared" si="77"/>
        <v>0</v>
      </c>
      <c r="DU19" s="47"/>
      <c r="DV19" s="47"/>
      <c r="DW19" s="50"/>
      <c r="DX19" s="47">
        <f t="shared" si="78"/>
        <v>0</v>
      </c>
      <c r="DY19" s="48">
        <f t="shared" si="78"/>
        <v>0</v>
      </c>
    </row>
    <row r="20" spans="1:129" s="45" customFormat="1" ht="15.75" x14ac:dyDescent="0.25">
      <c r="A20" s="67">
        <v>2028</v>
      </c>
      <c r="B20" s="42">
        <f t="shared" si="21"/>
        <v>9</v>
      </c>
      <c r="C20" s="30"/>
      <c r="D20" s="30"/>
      <c r="E20" s="31"/>
      <c r="F20" s="42">
        <f t="shared" si="23"/>
        <v>9</v>
      </c>
      <c r="G20" s="52">
        <f t="shared" si="23"/>
        <v>43.2</v>
      </c>
      <c r="H20" s="53">
        <f t="shared" si="24"/>
        <v>1</v>
      </c>
      <c r="I20" s="34"/>
      <c r="J20" s="34"/>
      <c r="K20" s="35"/>
      <c r="L20" s="42">
        <f t="shared" si="63"/>
        <v>1</v>
      </c>
      <c r="M20" s="52">
        <f t="shared" si="63"/>
        <v>9</v>
      </c>
      <c r="N20" s="53">
        <f t="shared" si="26"/>
        <v>0</v>
      </c>
      <c r="O20" s="54"/>
      <c r="P20" s="54"/>
      <c r="Q20" s="41"/>
      <c r="R20" s="54">
        <f>SUM(R21:R24)</f>
        <v>0</v>
      </c>
      <c r="S20" s="54">
        <f>SUM(S21:S24)</f>
        <v>0</v>
      </c>
      <c r="T20" s="42">
        <f t="shared" si="28"/>
        <v>0</v>
      </c>
      <c r="U20" s="54"/>
      <c r="V20" s="54"/>
      <c r="W20" s="41"/>
      <c r="X20" s="54">
        <f>SUM(X21:X24)</f>
        <v>0</v>
      </c>
      <c r="Y20" s="54">
        <f>SUM(Y21:Y24)</f>
        <v>0</v>
      </c>
      <c r="Z20" s="42">
        <f t="shared" si="30"/>
        <v>1</v>
      </c>
      <c r="AA20" s="54"/>
      <c r="AB20" s="54"/>
      <c r="AC20" s="41"/>
      <c r="AD20" s="54">
        <f>SUM(AD21:AD24)</f>
        <v>1</v>
      </c>
      <c r="AE20" s="55">
        <f>SUM(AE21:AE24)</f>
        <v>9</v>
      </c>
      <c r="AF20" s="56">
        <f t="shared" si="32"/>
        <v>8</v>
      </c>
      <c r="AG20" s="38"/>
      <c r="AH20" s="38"/>
      <c r="AI20" s="39"/>
      <c r="AJ20" s="42">
        <f t="shared" ref="AJ20" si="79">AP20+AV20+BB20</f>
        <v>8</v>
      </c>
      <c r="AK20" s="52">
        <f t="shared" si="64"/>
        <v>34.200000000000003</v>
      </c>
      <c r="AL20" s="56">
        <f t="shared" si="34"/>
        <v>0</v>
      </c>
      <c r="AM20" s="54"/>
      <c r="AN20" s="54"/>
      <c r="AO20" s="41"/>
      <c r="AP20" s="54">
        <f>SUM(AP21:AP24)</f>
        <v>0</v>
      </c>
      <c r="AQ20" s="54">
        <f>SUM(AQ21:AQ24)</f>
        <v>0</v>
      </c>
      <c r="AR20" s="42">
        <f t="shared" si="36"/>
        <v>0</v>
      </c>
      <c r="AS20" s="54"/>
      <c r="AT20" s="54"/>
      <c r="AU20" s="41"/>
      <c r="AV20" s="54">
        <f>SUM(AV21:AV24)</f>
        <v>0</v>
      </c>
      <c r="AW20" s="54">
        <f>SUM(AW21:AW24)</f>
        <v>0</v>
      </c>
      <c r="AX20" s="42">
        <f t="shared" si="38"/>
        <v>8</v>
      </c>
      <c r="AY20" s="54"/>
      <c r="AZ20" s="54"/>
      <c r="BA20" s="41"/>
      <c r="BB20" s="54">
        <f>SUM(BB21:BB24)</f>
        <v>8</v>
      </c>
      <c r="BC20" s="55">
        <f>SUM(BC21:BC24)</f>
        <v>34.200000000000003</v>
      </c>
      <c r="BD20" s="57">
        <f t="shared" si="40"/>
        <v>0</v>
      </c>
      <c r="BE20" s="58">
        <f t="shared" si="41"/>
        <v>0</v>
      </c>
      <c r="BF20" s="58">
        <f t="shared" si="41"/>
        <v>0</v>
      </c>
      <c r="BG20" s="59">
        <f t="shared" ref="BG20" si="80">IFERROR(BF20/BE20*100,0)</f>
        <v>0</v>
      </c>
      <c r="BH20" s="54">
        <f t="shared" si="73"/>
        <v>0</v>
      </c>
      <c r="BI20" s="55">
        <f t="shared" si="66"/>
        <v>0</v>
      </c>
      <c r="BJ20" s="57">
        <f t="shared" si="42"/>
        <v>0</v>
      </c>
      <c r="BK20" s="54"/>
      <c r="BL20" s="54"/>
      <c r="BM20" s="59"/>
      <c r="BN20" s="54">
        <f t="shared" si="65"/>
        <v>0</v>
      </c>
      <c r="BO20" s="54">
        <f t="shared" si="65"/>
        <v>0</v>
      </c>
      <c r="BP20" s="54">
        <f t="shared" si="44"/>
        <v>0</v>
      </c>
      <c r="BQ20" s="54"/>
      <c r="BR20" s="54"/>
      <c r="BS20" s="41"/>
      <c r="BT20" s="54">
        <f>SUM(BT21:BT24)</f>
        <v>0</v>
      </c>
      <c r="BU20" s="54">
        <f>SUM(BU21:BU24)</f>
        <v>0</v>
      </c>
      <c r="BV20" s="54">
        <f t="shared" si="46"/>
        <v>0</v>
      </c>
      <c r="BW20" s="54"/>
      <c r="BX20" s="54"/>
      <c r="BY20" s="41"/>
      <c r="BZ20" s="54">
        <f>SUM(BZ21:BZ24)</f>
        <v>0</v>
      </c>
      <c r="CA20" s="54">
        <f>SUM(CA21:CA24)</f>
        <v>0</v>
      </c>
      <c r="CB20" s="42">
        <f t="shared" si="48"/>
        <v>0</v>
      </c>
      <c r="CC20" s="54"/>
      <c r="CD20" s="54"/>
      <c r="CE20" s="41"/>
      <c r="CF20" s="54">
        <f>SUM(CF21:CF24)</f>
        <v>0</v>
      </c>
      <c r="CG20" s="54">
        <f>SUM(CG21:CG24)</f>
        <v>0</v>
      </c>
      <c r="CH20" s="30">
        <f t="shared" si="50"/>
        <v>0</v>
      </c>
      <c r="CI20" s="54"/>
      <c r="CJ20" s="54"/>
      <c r="CK20" s="41"/>
      <c r="CL20" s="54">
        <f>SUM(CL21:CL24)</f>
        <v>0</v>
      </c>
      <c r="CM20" s="54">
        <f>SUM(CM21:CM24)</f>
        <v>0</v>
      </c>
      <c r="CN20" s="43">
        <f t="shared" si="52"/>
        <v>0</v>
      </c>
      <c r="CO20" s="54"/>
      <c r="CP20" s="54"/>
      <c r="CQ20" s="41"/>
      <c r="CR20" s="54">
        <f>SUM(CR21:CR24)</f>
        <v>0</v>
      </c>
      <c r="CS20" s="55">
        <f>SUM(CS21:CS24)</f>
        <v>0</v>
      </c>
      <c r="CT20" s="44">
        <f t="shared" si="54"/>
        <v>0</v>
      </c>
      <c r="CU20" s="54"/>
      <c r="CV20" s="54"/>
      <c r="CW20" s="41"/>
      <c r="CX20" s="54">
        <f>SUM(CX21:CX24)</f>
        <v>0</v>
      </c>
      <c r="CY20" s="55">
        <f>SUM(CY21:CY24)</f>
        <v>0</v>
      </c>
      <c r="DB20" s="60">
        <f t="shared" si="17"/>
        <v>8</v>
      </c>
      <c r="DC20" s="61">
        <f>SUM(DC21:DC24)</f>
        <v>0</v>
      </c>
      <c r="DD20" s="61">
        <f>SUM(DD21:DD24)</f>
        <v>0</v>
      </c>
      <c r="DE20" s="62">
        <f>IFERROR(DD20/DC20*100,0)</f>
        <v>0</v>
      </c>
      <c r="DF20" s="63">
        <f>SUM(DF21:DF24)</f>
        <v>8</v>
      </c>
      <c r="DG20" s="64">
        <f>SUM(DG21:DG24)</f>
        <v>34.200000000000003</v>
      </c>
      <c r="DH20" s="65">
        <f>DI20+DL20</f>
        <v>0</v>
      </c>
      <c r="DI20" s="63"/>
      <c r="DJ20" s="63"/>
      <c r="DK20" s="66"/>
      <c r="DL20" s="63">
        <f>SUM(DL21:DL24)</f>
        <v>0</v>
      </c>
      <c r="DM20" s="64">
        <f>SUM(DM21:DM24)</f>
        <v>0</v>
      </c>
      <c r="DN20" s="65">
        <f>DO20+DR20</f>
        <v>0</v>
      </c>
      <c r="DO20" s="63"/>
      <c r="DP20" s="63"/>
      <c r="DQ20" s="66"/>
      <c r="DR20" s="63">
        <f>SUM(DR21:DR24)</f>
        <v>0</v>
      </c>
      <c r="DS20" s="64">
        <f>SUM(DS21:DS24)</f>
        <v>0</v>
      </c>
      <c r="DT20" s="65">
        <f>DU20+DX20</f>
        <v>8</v>
      </c>
      <c r="DU20" s="63"/>
      <c r="DV20" s="63"/>
      <c r="DW20" s="66"/>
      <c r="DX20" s="63">
        <f>SUM(DX21:DX24)</f>
        <v>8</v>
      </c>
      <c r="DY20" s="64">
        <f>SUM(DY21:DY24)</f>
        <v>34.200000000000003</v>
      </c>
    </row>
    <row r="21" spans="1:129" s="45" customFormat="1" ht="15.75" customHeight="1" x14ac:dyDescent="0.25">
      <c r="A21" s="28" t="s">
        <v>180</v>
      </c>
      <c r="B21" s="29">
        <f t="shared" si="21"/>
        <v>0</v>
      </c>
      <c r="C21" s="30"/>
      <c r="D21" s="30"/>
      <c r="E21" s="31"/>
      <c r="F21" s="29">
        <f t="shared" si="23"/>
        <v>0</v>
      </c>
      <c r="G21" s="32">
        <f t="shared" si="23"/>
        <v>0</v>
      </c>
      <c r="H21" s="33">
        <f t="shared" si="24"/>
        <v>0</v>
      </c>
      <c r="I21" s="34"/>
      <c r="J21" s="34"/>
      <c r="K21" s="35"/>
      <c r="L21" s="29">
        <f t="shared" si="63"/>
        <v>0</v>
      </c>
      <c r="M21" s="32">
        <f t="shared" si="63"/>
        <v>0</v>
      </c>
      <c r="N21" s="33">
        <f t="shared" si="26"/>
        <v>0</v>
      </c>
      <c r="O21" s="63"/>
      <c r="P21" s="63"/>
      <c r="Q21" s="36"/>
      <c r="R21" s="29">
        <f>COUNTIFS('2026'!$J$8:$J$185,"&lt;3",'2026'!$K$8:$K$185,"2028",'2026'!$R$8:$R$185,"республика")</f>
        <v>0</v>
      </c>
      <c r="S21" s="29">
        <f>SUMIFS('2026'!$N$8:$N$185,'2026'!$K$8:$K$185,"2028",'2026'!$J$8:$J$185,"&lt;3",'2026'!$R$8:$R$185,"республика")</f>
        <v>0</v>
      </c>
      <c r="T21" s="29">
        <f t="shared" si="28"/>
        <v>0</v>
      </c>
      <c r="U21" s="63"/>
      <c r="V21" s="63"/>
      <c r="W21" s="36"/>
      <c r="X21" s="29">
        <f>COUNTIFS('2026'!$J$8:$J$185,"&lt;3",'2026'!$K$8:$K$185,"2028",'2026'!$R$8:$R$185,"область")</f>
        <v>0</v>
      </c>
      <c r="Y21" s="29">
        <f>SUMIFS('2026'!$N$8:$N$185,'2026'!$K$8:$K$185,"2028",'2026'!$J$8:$J$185,"&lt;3",'2026'!$R$8:$R$185,"область")</f>
        <v>0</v>
      </c>
      <c r="Z21" s="29">
        <f t="shared" si="30"/>
        <v>0</v>
      </c>
      <c r="AA21" s="63"/>
      <c r="AB21" s="63"/>
      <c r="AC21" s="36"/>
      <c r="AD21" s="29">
        <f>COUNTIFS('2026'!$J$8:$J$185,"&lt;3",'2026'!$K$8:$K$185,"2028",'2026'!$R$8:$R$185,"район")</f>
        <v>0</v>
      </c>
      <c r="AE21" s="32">
        <f>SUMIFS('2026'!$N$8:$N$185,'2026'!$K$8:$K$185,"2028",'2026'!$J$8:$J$185,"&lt;3",'2026'!$R$8:$R$185,"район")</f>
        <v>0</v>
      </c>
      <c r="AF21" s="37">
        <f t="shared" si="32"/>
        <v>0</v>
      </c>
      <c r="AG21" s="38"/>
      <c r="AH21" s="38"/>
      <c r="AI21" s="39"/>
      <c r="AJ21" s="29">
        <f>AP21+AV21+BB21</f>
        <v>0</v>
      </c>
      <c r="AK21" s="32">
        <f t="shared" si="64"/>
        <v>0</v>
      </c>
      <c r="AL21" s="37">
        <f t="shared" si="34"/>
        <v>0</v>
      </c>
      <c r="AM21" s="63"/>
      <c r="AN21" s="63"/>
      <c r="AO21" s="36"/>
      <c r="AP21" s="29">
        <f>COUNTIFS('2026'!$J$8:$J$185,"&lt;3",'2026'!$K$8:$K$185,"2028",'2026'!$R$8:$R$185,"республика50б")</f>
        <v>0</v>
      </c>
      <c r="AQ21" s="29">
        <f>SUMIFS('2026'!$N$8:$N$185,'2026'!$K$8:$K$185,"2028",'2026'!$J$8:$J$185,"&lt;3",'2026'!$R$8:$R$185,"республика50б")</f>
        <v>0</v>
      </c>
      <c r="AR21" s="29">
        <f t="shared" si="36"/>
        <v>0</v>
      </c>
      <c r="AS21" s="63"/>
      <c r="AT21" s="63"/>
      <c r="AU21" s="36"/>
      <c r="AV21" s="29">
        <f>COUNTIFS('2026'!$J$8:$J$185,"&lt;3",'2026'!$K$8:$K$185,"2028",'2026'!$R$8:$R$185,"область50б")</f>
        <v>0</v>
      </c>
      <c r="AW21" s="29">
        <f>SUMIFS('2026'!$N$8:$N$185,'2026'!$K$8:$K$185,"2028",'2026'!$J$8:$J$185,"&lt;3",'2026'!$R$8:$R$185,"область50б")</f>
        <v>0</v>
      </c>
      <c r="AX21" s="29">
        <f t="shared" si="38"/>
        <v>0</v>
      </c>
      <c r="AY21" s="63"/>
      <c r="AZ21" s="63"/>
      <c r="BA21" s="36"/>
      <c r="BB21" s="29">
        <f>COUNTIFS('2026'!$J$8:$J$185,"&lt;3",'2026'!$K$8:$K$185,"2028",'2026'!$R$8:$R$185,"район50б")</f>
        <v>0</v>
      </c>
      <c r="BC21" s="32">
        <f>SUMIFS('2026'!$N$8:$N$185,'2026'!$K$8:$K$185,"2028",'2026'!$J$8:$J$185,"&lt;3",'2026'!$R$8:$R$185,"район50б")</f>
        <v>0</v>
      </c>
      <c r="BD21" s="37">
        <f t="shared" si="40"/>
        <v>0</v>
      </c>
      <c r="BE21" s="40">
        <f t="shared" si="41"/>
        <v>0</v>
      </c>
      <c r="BF21" s="40">
        <f t="shared" si="41"/>
        <v>0</v>
      </c>
      <c r="BG21" s="41"/>
      <c r="BH21" s="29">
        <f t="shared" si="73"/>
        <v>0</v>
      </c>
      <c r="BI21" s="32">
        <f t="shared" si="66"/>
        <v>0</v>
      </c>
      <c r="BJ21" s="37">
        <f t="shared" si="42"/>
        <v>0</v>
      </c>
      <c r="BK21" s="42"/>
      <c r="BL21" s="42"/>
      <c r="BM21" s="41"/>
      <c r="BN21" s="29">
        <f>BT21+BZ21+CF21</f>
        <v>0</v>
      </c>
      <c r="BO21" s="29">
        <f t="shared" si="65"/>
        <v>0</v>
      </c>
      <c r="BP21" s="29">
        <f t="shared" si="44"/>
        <v>0</v>
      </c>
      <c r="BQ21" s="63"/>
      <c r="BR21" s="63"/>
      <c r="BS21" s="36"/>
      <c r="BT21" s="29">
        <f>COUNTIFS('2026'!$J$8:$J$185,"&lt;3",'2026'!$K$8:$K$185,"2028",'2026'!$R$8:$R$185,"республика50м")</f>
        <v>0</v>
      </c>
      <c r="BU21" s="29">
        <f>SUMIFS('2026'!$N$8:$N$185,'2026'!$K$8:$K$185,"2028",'2026'!$J$8:$J$185,"&lt;3",'2026'!$R$8:$R$185,"республика50м")</f>
        <v>0</v>
      </c>
      <c r="BV21" s="29">
        <f t="shared" si="46"/>
        <v>0</v>
      </c>
      <c r="BW21" s="63"/>
      <c r="BX21" s="63"/>
      <c r="BY21" s="36"/>
      <c r="BZ21" s="29">
        <f>COUNTIFS('2026'!$J$8:$J$185,"&lt;3",'2026'!$K$8:$K$185,"2028",'2026'!$R$8:$R$185,"область50м")</f>
        <v>0</v>
      </c>
      <c r="CA21" s="29">
        <f>SUMIFS('2026'!$N$8:$N$185,'2026'!$K$8:$K$185,"2028",'2026'!$J$8:$J$185,"&lt;3",'2026'!$R$8:$R$185,"область50м")</f>
        <v>0</v>
      </c>
      <c r="CB21" s="29">
        <f t="shared" si="48"/>
        <v>0</v>
      </c>
      <c r="CC21" s="63"/>
      <c r="CD21" s="63"/>
      <c r="CE21" s="36"/>
      <c r="CF21" s="29">
        <f>COUNTIFS('2026'!$J$8:$J$185,"&lt;3",'2026'!$K$8:$K$185,"2028",'2026'!$R$8:$R$185,"район50м")</f>
        <v>0</v>
      </c>
      <c r="CG21" s="29">
        <f>SUMIFS('2026'!$N$8:$N$185,'2026'!$K$8:$K$185,"2028",'2026'!$J$8:$J$185,"&lt;3",'2026'!$R$8:$R$185,"район50м")</f>
        <v>0</v>
      </c>
      <c r="CH21" s="30">
        <f t="shared" si="50"/>
        <v>0</v>
      </c>
      <c r="CI21" s="63"/>
      <c r="CJ21" s="63"/>
      <c r="CK21" s="36"/>
      <c r="CL21" s="29">
        <f>COUNTIFS('2026'!$J$8:$J$185,"&lt;3",'2026'!$K$8:$K$185,"2028",'2026'!$R$8:$R$185,"райпо")</f>
        <v>0</v>
      </c>
      <c r="CM21" s="29">
        <f>SUMIFS('2026'!$N$8:$N$185,'2026'!$K$8:$K$185,"2028",'2026'!$J$8:$J$185,"&lt;3",'2026'!$R$8:$R$185,"райпо")</f>
        <v>0</v>
      </c>
      <c r="CN21" s="43">
        <f t="shared" si="52"/>
        <v>0</v>
      </c>
      <c r="CO21" s="63"/>
      <c r="CP21" s="63"/>
      <c r="CQ21" s="36"/>
      <c r="CR21" s="29">
        <f>COUNTIFS('2026'!$J$8:$J$185,"&lt;3",'2026'!$K$8:$K$185,"2028",'2026'!$R$8:$R$185,"инаяч")</f>
        <v>0</v>
      </c>
      <c r="CS21" s="32">
        <f>SUMIFS('2026'!$N$8:$N$185,'2026'!$K$8:$K$185,"2028",'2026'!$J$8:$J$185,"&lt;3",'2026'!$R$8:$R$185,"инаяч")</f>
        <v>0</v>
      </c>
      <c r="CT21" s="44">
        <f t="shared" si="54"/>
        <v>0</v>
      </c>
      <c r="CU21" s="63"/>
      <c r="CV21" s="63"/>
      <c r="CW21" s="36"/>
      <c r="CX21" s="29">
        <f>COUNTIFS('2026'!$J$8:$J$185,"&lt;3",'2026'!$K$8:$K$185,"2028",'2026'!$R$8:$R$185,"бесхозяйное")</f>
        <v>0</v>
      </c>
      <c r="CY21" s="32">
        <f>SUMIFS('2026'!$N$8:$N$185,'2026'!$K$8:$K$185,"2028",'2026'!$J$8:$J$185,"&lt;3",'2026'!$R$8:$R$185,"бесхозяйное")</f>
        <v>0</v>
      </c>
      <c r="DB21" s="46">
        <f t="shared" si="17"/>
        <v>0</v>
      </c>
      <c r="DC21" s="38">
        <f t="shared" ref="DC21:DD24" si="81">DI21+DO21+DU21</f>
        <v>0</v>
      </c>
      <c r="DD21" s="38">
        <f t="shared" si="81"/>
        <v>0</v>
      </c>
      <c r="DE21" s="39">
        <f t="shared" si="68"/>
        <v>0</v>
      </c>
      <c r="DF21" s="47">
        <f t="shared" ref="DF21:DG24" si="82">DL21+DR21+DX21</f>
        <v>0</v>
      </c>
      <c r="DG21" s="48">
        <f t="shared" si="82"/>
        <v>0</v>
      </c>
      <c r="DH21" s="49">
        <f>AL21+BP21</f>
        <v>0</v>
      </c>
      <c r="DI21" s="47"/>
      <c r="DJ21" s="47"/>
      <c r="DK21" s="50"/>
      <c r="DL21" s="47">
        <f t="shared" ref="DL21:DN24" si="83">AP21+BT21</f>
        <v>0</v>
      </c>
      <c r="DM21" s="48">
        <f t="shared" si="83"/>
        <v>0</v>
      </c>
      <c r="DN21" s="49">
        <f t="shared" si="83"/>
        <v>0</v>
      </c>
      <c r="DO21" s="47"/>
      <c r="DP21" s="47"/>
      <c r="DQ21" s="50"/>
      <c r="DR21" s="47">
        <f t="shared" ref="DR21:DT24" si="84">AV21+BZ21</f>
        <v>0</v>
      </c>
      <c r="DS21" s="48">
        <f t="shared" si="84"/>
        <v>0</v>
      </c>
      <c r="DT21" s="49">
        <f t="shared" si="84"/>
        <v>0</v>
      </c>
      <c r="DU21" s="47"/>
      <c r="DV21" s="47"/>
      <c r="DW21" s="50"/>
      <c r="DX21" s="47">
        <f t="shared" ref="DX21:DY24" si="85">BB21+CF21</f>
        <v>0</v>
      </c>
      <c r="DY21" s="48">
        <f t="shared" si="85"/>
        <v>0</v>
      </c>
    </row>
    <row r="22" spans="1:129" s="45" customFormat="1" ht="15.75" customHeight="1" x14ac:dyDescent="0.25">
      <c r="A22" s="28" t="s">
        <v>181</v>
      </c>
      <c r="B22" s="29">
        <f t="shared" si="21"/>
        <v>5</v>
      </c>
      <c r="C22" s="30"/>
      <c r="D22" s="30"/>
      <c r="E22" s="31"/>
      <c r="F22" s="29">
        <f t="shared" si="23"/>
        <v>5</v>
      </c>
      <c r="G22" s="32">
        <f t="shared" si="23"/>
        <v>29.2</v>
      </c>
      <c r="H22" s="33">
        <f t="shared" si="24"/>
        <v>1</v>
      </c>
      <c r="I22" s="34"/>
      <c r="J22" s="34"/>
      <c r="K22" s="35"/>
      <c r="L22" s="29">
        <f t="shared" si="63"/>
        <v>1</v>
      </c>
      <c r="M22" s="32">
        <f t="shared" si="63"/>
        <v>9</v>
      </c>
      <c r="N22" s="33">
        <f t="shared" si="26"/>
        <v>0</v>
      </c>
      <c r="O22" s="63"/>
      <c r="P22" s="63"/>
      <c r="Q22" s="36"/>
      <c r="R22" s="29">
        <f>COUNTIFS('2026'!$J$8:$J$185,"3",'2026'!$K$8:$K$185,"2028",'2026'!$R$8:$R$185,"республика")</f>
        <v>0</v>
      </c>
      <c r="S22" s="29">
        <f>SUMIFS('2026'!$N$8:$N$185,'2026'!$K$8:$K$185,"2028",'2026'!$J$8:$J$185,"3",'2026'!$R$8:$R$185,"республика")</f>
        <v>0</v>
      </c>
      <c r="T22" s="29">
        <f t="shared" si="28"/>
        <v>0</v>
      </c>
      <c r="U22" s="63"/>
      <c r="V22" s="63"/>
      <c r="W22" s="36"/>
      <c r="X22" s="29">
        <f>COUNTIFS('2026'!$J$8:$J$185,"3",'2026'!$K$8:$K$185,"2028",'2026'!$R$8:$R$185,"область")</f>
        <v>0</v>
      </c>
      <c r="Y22" s="29">
        <f>SUMIFS('2026'!$N$8:$N$185,'2026'!$K$8:$K$185,"2028",'2026'!$J$8:$J$185,"3",'2026'!$R$8:$R$185,"область")</f>
        <v>0</v>
      </c>
      <c r="Z22" s="29">
        <f t="shared" si="30"/>
        <v>1</v>
      </c>
      <c r="AA22" s="63"/>
      <c r="AB22" s="63"/>
      <c r="AC22" s="36"/>
      <c r="AD22" s="29">
        <f>COUNTIFS('2026'!$J$8:$J$185,"3",'2026'!$K$8:$K$185,"2028",'2026'!$R$8:$R$185,"район")</f>
        <v>1</v>
      </c>
      <c r="AE22" s="32">
        <f>SUMIFS('2026'!$N$8:$N$185,'2026'!$K$8:$K$185,"2028",'2026'!$J$8:$J$185,"3",'2026'!$R$8:$R$185,"район")</f>
        <v>9</v>
      </c>
      <c r="AF22" s="37">
        <f t="shared" si="32"/>
        <v>4</v>
      </c>
      <c r="AG22" s="38"/>
      <c r="AH22" s="38"/>
      <c r="AI22" s="39"/>
      <c r="AJ22" s="29">
        <f>AP22+AV22+BB22</f>
        <v>4</v>
      </c>
      <c r="AK22" s="32">
        <f t="shared" si="64"/>
        <v>20.2</v>
      </c>
      <c r="AL22" s="37">
        <f t="shared" si="34"/>
        <v>0</v>
      </c>
      <c r="AM22" s="63"/>
      <c r="AN22" s="63"/>
      <c r="AO22" s="36"/>
      <c r="AP22" s="29">
        <f>COUNTIFS('2026'!$J$8:$J$185,"3",'2026'!$K$8:$K$185,"2028",'2026'!$R$8:$R$185,"республика50б")</f>
        <v>0</v>
      </c>
      <c r="AQ22" s="29">
        <f>SUMIFS('2026'!$N$8:$N$185,'2026'!$K$8:$K$185,"2028",'2026'!$J$8:$J$185,"3",'2026'!$R$8:$R$185,"республика50б")</f>
        <v>0</v>
      </c>
      <c r="AR22" s="29">
        <f t="shared" si="36"/>
        <v>0</v>
      </c>
      <c r="AS22" s="63"/>
      <c r="AT22" s="63"/>
      <c r="AU22" s="36"/>
      <c r="AV22" s="29">
        <f>COUNTIFS('2026'!$J$8:$J$185,"3",'2026'!$K$8:$K$185,"2028",'2026'!$R$8:$R$185,"область50б")</f>
        <v>0</v>
      </c>
      <c r="AW22" s="29">
        <f>SUMIFS('2026'!$N$8:$N$185,'2026'!$K$8:$K$185,"2028",'2026'!$J$8:$J$185,"3",'2026'!$R$8:$R$185,"область50б")</f>
        <v>0</v>
      </c>
      <c r="AX22" s="29">
        <f t="shared" si="38"/>
        <v>4</v>
      </c>
      <c r="AY22" s="63"/>
      <c r="AZ22" s="63"/>
      <c r="BA22" s="36"/>
      <c r="BB22" s="29">
        <f>COUNTIFS('2026'!$J$8:$J$185,"3",'2026'!$K$8:$K$185,"2028",'2026'!$R$8:$R$185,"район50б")</f>
        <v>4</v>
      </c>
      <c r="BC22" s="32">
        <f>SUMIFS('2026'!$N$8:$N$185,'2026'!$K$8:$K$185,"2028",'2026'!$J$8:$J$185,"3",'2026'!$R$8:$R$185,"район50б")</f>
        <v>20.2</v>
      </c>
      <c r="BD22" s="37">
        <f t="shared" si="40"/>
        <v>0</v>
      </c>
      <c r="BE22" s="40">
        <f t="shared" si="41"/>
        <v>0</v>
      </c>
      <c r="BF22" s="40">
        <f t="shared" si="41"/>
        <v>0</v>
      </c>
      <c r="BG22" s="41"/>
      <c r="BH22" s="29">
        <f t="shared" si="73"/>
        <v>0</v>
      </c>
      <c r="BI22" s="32">
        <f t="shared" si="66"/>
        <v>0</v>
      </c>
      <c r="BJ22" s="37">
        <f t="shared" si="42"/>
        <v>0</v>
      </c>
      <c r="BK22" s="42"/>
      <c r="BL22" s="42"/>
      <c r="BM22" s="41"/>
      <c r="BN22" s="29">
        <f>BT22+BZ22+CF22</f>
        <v>0</v>
      </c>
      <c r="BO22" s="29">
        <f t="shared" si="65"/>
        <v>0</v>
      </c>
      <c r="BP22" s="29">
        <f t="shared" si="44"/>
        <v>0</v>
      </c>
      <c r="BQ22" s="63"/>
      <c r="BR22" s="63"/>
      <c r="BS22" s="36"/>
      <c r="BT22" s="29">
        <f>COUNTIFS('2026'!$J$8:$J$185,"3",'2026'!$K$8:$K$185,"2028",'2026'!$R$8:$R$185,"республика50м")</f>
        <v>0</v>
      </c>
      <c r="BU22" s="29">
        <f>SUMIFS('2026'!$N$8:$N$185,'2026'!$K$8:$K$185,"2028",'2026'!$J$8:$J$185,"3",'2026'!$R$8:$R$185,"республика50м")</f>
        <v>0</v>
      </c>
      <c r="BV22" s="29">
        <f t="shared" si="46"/>
        <v>0</v>
      </c>
      <c r="BW22" s="63"/>
      <c r="BX22" s="63"/>
      <c r="BY22" s="36"/>
      <c r="BZ22" s="29">
        <f>COUNTIFS('2026'!$J$8:$J$185,"3",'2026'!$K$8:$K$185,"2028",'2026'!$R$8:$R$185,"область50м")</f>
        <v>0</v>
      </c>
      <c r="CA22" s="29">
        <f>SUMIFS('2026'!$N$8:$N$185,'2026'!$K$8:$K$185,"2028",'2026'!$J$8:$J$185,"3",'2026'!$R$8:$R$185,"область50м")</f>
        <v>0</v>
      </c>
      <c r="CB22" s="29">
        <f t="shared" si="48"/>
        <v>0</v>
      </c>
      <c r="CC22" s="63"/>
      <c r="CD22" s="63"/>
      <c r="CE22" s="36"/>
      <c r="CF22" s="29">
        <f>COUNTIFS('2026'!$J$8:$J$185,"3",'2026'!$K$8:$K$185,"2028",'2026'!$R$8:$R$185,"район50м")</f>
        <v>0</v>
      </c>
      <c r="CG22" s="29">
        <f>SUMIFS('2026'!$N$8:$N$185,'2026'!$K$8:$K$185,"2028",'2026'!$J$8:$J$185,"3",'2026'!$R$8:$R$185,"район50м")</f>
        <v>0</v>
      </c>
      <c r="CH22" s="30">
        <f t="shared" si="50"/>
        <v>0</v>
      </c>
      <c r="CI22" s="63"/>
      <c r="CJ22" s="63"/>
      <c r="CK22" s="36"/>
      <c r="CL22" s="29">
        <f>COUNTIFS('2026'!$J$8:$J$185,"3",'2026'!$K$8:$K$185,"2028",'2026'!$R$8:$R$185,"райпо")</f>
        <v>0</v>
      </c>
      <c r="CM22" s="29">
        <f>SUMIFS('2026'!$N$8:$N$185,'2026'!$K$8:$K$185,"2028",'2026'!$J$8:$J$185,"3",'2026'!$R$8:$R$185,"райпо")</f>
        <v>0</v>
      </c>
      <c r="CN22" s="43">
        <f t="shared" si="52"/>
        <v>0</v>
      </c>
      <c r="CO22" s="63"/>
      <c r="CP22" s="63"/>
      <c r="CQ22" s="36"/>
      <c r="CR22" s="29">
        <f>COUNTIFS('2026'!$J$8:$J$185,"3",'2026'!$K$8:$K$185,"2028",'2026'!$R$8:$R$185,"инаяч")</f>
        <v>0</v>
      </c>
      <c r="CS22" s="32">
        <f>SUMIFS('2026'!$N$8:$N$185,'2026'!$K$8:$K$185,"2028",'2026'!$J$8:$J$185,"3",'2026'!$R$8:$R$185,"инаяч")</f>
        <v>0</v>
      </c>
      <c r="CT22" s="44">
        <f t="shared" si="54"/>
        <v>0</v>
      </c>
      <c r="CU22" s="63"/>
      <c r="CV22" s="63"/>
      <c r="CW22" s="36"/>
      <c r="CX22" s="29">
        <f>COUNTIFS('2026'!$J$8:$J$185,"3",'2026'!$K$8:$K$185,"2028",'2026'!$R$8:$R$185,"бесхозяйное")</f>
        <v>0</v>
      </c>
      <c r="CY22" s="32">
        <f>SUMIFS('2026'!$N$8:$N$185,'2026'!$K$8:$K$185,"2028",'2026'!$J$8:$J$185,"3",'2026'!$R$8:$R$185,"бесхозяйное")</f>
        <v>0</v>
      </c>
      <c r="DB22" s="46">
        <f t="shared" si="17"/>
        <v>4</v>
      </c>
      <c r="DC22" s="38">
        <f t="shared" si="81"/>
        <v>0</v>
      </c>
      <c r="DD22" s="38">
        <f t="shared" si="81"/>
        <v>0</v>
      </c>
      <c r="DE22" s="39">
        <f t="shared" si="68"/>
        <v>0</v>
      </c>
      <c r="DF22" s="47">
        <f t="shared" si="82"/>
        <v>4</v>
      </c>
      <c r="DG22" s="48">
        <f t="shared" si="82"/>
        <v>20.2</v>
      </c>
      <c r="DH22" s="49">
        <f>AL22+BP22</f>
        <v>0</v>
      </c>
      <c r="DI22" s="47"/>
      <c r="DJ22" s="47"/>
      <c r="DK22" s="50"/>
      <c r="DL22" s="47">
        <f t="shared" si="83"/>
        <v>0</v>
      </c>
      <c r="DM22" s="48">
        <f t="shared" si="83"/>
        <v>0</v>
      </c>
      <c r="DN22" s="49">
        <f t="shared" si="83"/>
        <v>0</v>
      </c>
      <c r="DO22" s="47"/>
      <c r="DP22" s="47"/>
      <c r="DQ22" s="50"/>
      <c r="DR22" s="47">
        <f t="shared" si="84"/>
        <v>0</v>
      </c>
      <c r="DS22" s="48">
        <f t="shared" si="84"/>
        <v>0</v>
      </c>
      <c r="DT22" s="49">
        <f t="shared" si="84"/>
        <v>4</v>
      </c>
      <c r="DU22" s="47"/>
      <c r="DV22" s="47"/>
      <c r="DW22" s="50"/>
      <c r="DX22" s="47">
        <f t="shared" si="85"/>
        <v>4</v>
      </c>
      <c r="DY22" s="48">
        <f t="shared" si="85"/>
        <v>20.2</v>
      </c>
    </row>
    <row r="23" spans="1:129" s="45" customFormat="1" ht="15.75" customHeight="1" x14ac:dyDescent="0.25">
      <c r="A23" s="28" t="s">
        <v>182</v>
      </c>
      <c r="B23" s="29">
        <f t="shared" si="21"/>
        <v>4</v>
      </c>
      <c r="C23" s="30"/>
      <c r="D23" s="30"/>
      <c r="E23" s="31"/>
      <c r="F23" s="29">
        <f t="shared" si="23"/>
        <v>4</v>
      </c>
      <c r="G23" s="32">
        <f t="shared" si="23"/>
        <v>14</v>
      </c>
      <c r="H23" s="33">
        <f t="shared" si="24"/>
        <v>0</v>
      </c>
      <c r="I23" s="34"/>
      <c r="J23" s="34"/>
      <c r="K23" s="35"/>
      <c r="L23" s="29">
        <f t="shared" si="63"/>
        <v>0</v>
      </c>
      <c r="M23" s="32">
        <f t="shared" si="63"/>
        <v>0</v>
      </c>
      <c r="N23" s="33">
        <f t="shared" si="26"/>
        <v>0</v>
      </c>
      <c r="O23" s="63"/>
      <c r="P23" s="63"/>
      <c r="Q23" s="36"/>
      <c r="R23" s="29">
        <f>COUNTIFS('2026'!$J$8:$J$185,"4",'2026'!$K$8:$K$185,"2028",'2026'!$R$8:$R$185,"республика")</f>
        <v>0</v>
      </c>
      <c r="S23" s="29">
        <f>SUMIFS('2026'!$N$8:$N$185,'2026'!$K$8:$K$185,"2028",'2026'!$J$8:$J$185,"4",'2026'!$R$8:$R$185,"республика")</f>
        <v>0</v>
      </c>
      <c r="T23" s="29">
        <f t="shared" si="28"/>
        <v>0</v>
      </c>
      <c r="U23" s="63"/>
      <c r="V23" s="63"/>
      <c r="W23" s="36"/>
      <c r="X23" s="29">
        <f>COUNTIFS('2026'!$J$8:$J$185,"4",'2026'!$K$8:$K$185,"2028",'2026'!$R$8:$R$185,"область")</f>
        <v>0</v>
      </c>
      <c r="Y23" s="29">
        <f>SUMIFS('2026'!$N$8:$N$185,'2026'!$K$8:$K$185,"2028",'2026'!$J$8:$J$185,"4",'2026'!$R$8:$R$185,"область")</f>
        <v>0</v>
      </c>
      <c r="Z23" s="29">
        <f t="shared" si="30"/>
        <v>0</v>
      </c>
      <c r="AA23" s="63"/>
      <c r="AB23" s="63"/>
      <c r="AC23" s="36"/>
      <c r="AD23" s="29">
        <f>COUNTIFS('2026'!$J$8:$J$185,"4",'2026'!$K$8:$K$185,"2028",'2026'!$R$8:$R$185,"район")</f>
        <v>0</v>
      </c>
      <c r="AE23" s="32">
        <f>SUMIFS('2026'!$N$8:$N$185,'2026'!$K$8:$K$185,"2028",'2026'!$J$8:$J$185,"4",'2026'!$R$8:$R$185,"район")</f>
        <v>0</v>
      </c>
      <c r="AF23" s="37">
        <f t="shared" si="32"/>
        <v>4</v>
      </c>
      <c r="AG23" s="38"/>
      <c r="AH23" s="38"/>
      <c r="AI23" s="39"/>
      <c r="AJ23" s="29">
        <f>AP23+AV23+BB23</f>
        <v>4</v>
      </c>
      <c r="AK23" s="32">
        <f t="shared" si="64"/>
        <v>14</v>
      </c>
      <c r="AL23" s="37">
        <f t="shared" si="34"/>
        <v>0</v>
      </c>
      <c r="AM23" s="63"/>
      <c r="AN23" s="63"/>
      <c r="AO23" s="36"/>
      <c r="AP23" s="29">
        <f>COUNTIFS('2026'!$J$8:$J$185,"4",'2026'!$K$8:$K$185,"2028",'2026'!$R$8:$R$185,"республика50б")</f>
        <v>0</v>
      </c>
      <c r="AQ23" s="29">
        <f>SUMIFS('2026'!$N$8:$N$185,'2026'!$K$8:$K$185,"2028",'2026'!$J$8:$J$185,"4",'2026'!$R$8:$R$185,"республика50б")</f>
        <v>0</v>
      </c>
      <c r="AR23" s="29">
        <f t="shared" si="36"/>
        <v>0</v>
      </c>
      <c r="AS23" s="63"/>
      <c r="AT23" s="63"/>
      <c r="AU23" s="36"/>
      <c r="AV23" s="29">
        <f>COUNTIFS('2026'!$J$8:$J$185,"4",'2026'!$K$8:$K$185,"2028",'2026'!$R$8:$R$185,"область50б")</f>
        <v>0</v>
      </c>
      <c r="AW23" s="29">
        <f>SUMIFS('2026'!$N$8:$N$185,'2026'!$K$8:$K$185,"2028",'2026'!$J$8:$J$185,"4",'2026'!$R$8:$R$185,"область50б")</f>
        <v>0</v>
      </c>
      <c r="AX23" s="29">
        <f t="shared" si="38"/>
        <v>4</v>
      </c>
      <c r="AY23" s="63"/>
      <c r="AZ23" s="63"/>
      <c r="BA23" s="36"/>
      <c r="BB23" s="29">
        <f>COUNTIFS('2026'!$J$8:$J$185,"4",'2026'!$K$8:$K$185,"2028",'2026'!$R$8:$R$185,"район50б")</f>
        <v>4</v>
      </c>
      <c r="BC23" s="32">
        <f>SUMIFS('2026'!$N$8:$N$185,'2026'!$K$8:$K$185,"2028",'2026'!$J$8:$J$185,"4",'2026'!$R$8:$R$185,"район50б")</f>
        <v>14</v>
      </c>
      <c r="BD23" s="37">
        <f t="shared" si="40"/>
        <v>0</v>
      </c>
      <c r="BE23" s="40">
        <f t="shared" si="41"/>
        <v>0</v>
      </c>
      <c r="BF23" s="40">
        <f t="shared" si="41"/>
        <v>0</v>
      </c>
      <c r="BG23" s="41"/>
      <c r="BH23" s="29">
        <f t="shared" si="73"/>
        <v>0</v>
      </c>
      <c r="BI23" s="32">
        <f t="shared" si="66"/>
        <v>0</v>
      </c>
      <c r="BJ23" s="37">
        <f t="shared" si="42"/>
        <v>0</v>
      </c>
      <c r="BK23" s="42"/>
      <c r="BL23" s="42"/>
      <c r="BM23" s="41"/>
      <c r="BN23" s="29">
        <f>BT23+BZ23+CF23</f>
        <v>0</v>
      </c>
      <c r="BO23" s="29">
        <f t="shared" si="65"/>
        <v>0</v>
      </c>
      <c r="BP23" s="29">
        <f t="shared" si="44"/>
        <v>0</v>
      </c>
      <c r="BQ23" s="63"/>
      <c r="BR23" s="63"/>
      <c r="BS23" s="36"/>
      <c r="BT23" s="29">
        <f>COUNTIFS('2026'!$J$8:$J$185,"4",'2026'!$K$8:$K$185,"2028",'2026'!$R$8:$R$185,"республика50м")</f>
        <v>0</v>
      </c>
      <c r="BU23" s="29">
        <f>SUMIFS('2026'!$N$8:$N$185,'2026'!$K$8:$K$185,"2028",'2026'!$J$8:$J$185,"4",'2026'!$R$8:$R$185,"республика50м")</f>
        <v>0</v>
      </c>
      <c r="BV23" s="29">
        <f t="shared" si="46"/>
        <v>0</v>
      </c>
      <c r="BW23" s="63"/>
      <c r="BX23" s="63"/>
      <c r="BY23" s="36"/>
      <c r="BZ23" s="29">
        <f>COUNTIFS('2026'!$J$8:$J$185,"4",'2026'!$K$8:$K$185,"2028",'2026'!$R$8:$R$185,"область50м")</f>
        <v>0</v>
      </c>
      <c r="CA23" s="29">
        <f>SUMIFS('2026'!$N$8:$N$185,'2026'!$K$8:$K$185,"2028",'2026'!$J$8:$J$185,"4",'2026'!$R$8:$R$185,"область50м")</f>
        <v>0</v>
      </c>
      <c r="CB23" s="29">
        <f t="shared" si="48"/>
        <v>0</v>
      </c>
      <c r="CC23" s="63"/>
      <c r="CD23" s="63"/>
      <c r="CE23" s="36"/>
      <c r="CF23" s="29">
        <f>COUNTIFS('2026'!$J$8:$J$185,"4",'2026'!$K$8:$K$185,"2028",'2026'!$R$8:$R$185,"район50м")</f>
        <v>0</v>
      </c>
      <c r="CG23" s="29">
        <f>SUMIFS('2026'!$N$8:$N$185,'2026'!$K$8:$K$185,"2028",'2026'!$J$8:$J$185,"4",'2026'!$R$8:$R$185,"район50м")</f>
        <v>0</v>
      </c>
      <c r="CH23" s="30">
        <f t="shared" si="50"/>
        <v>0</v>
      </c>
      <c r="CI23" s="63"/>
      <c r="CJ23" s="63"/>
      <c r="CK23" s="36"/>
      <c r="CL23" s="29">
        <f>COUNTIFS('2026'!$J$8:$J$185,"4",'2026'!$K$8:$K$185,"2028",'2026'!$R$8:$R$185,"райпо")</f>
        <v>0</v>
      </c>
      <c r="CM23" s="29">
        <f>SUMIFS('2026'!$N$8:$N$185,'2026'!$K$8:$K$185,"2028",'2026'!$J$8:$J$185,"4",'2026'!$R$8:$R$185,"райпо")</f>
        <v>0</v>
      </c>
      <c r="CN23" s="43">
        <f t="shared" si="52"/>
        <v>0</v>
      </c>
      <c r="CO23" s="63"/>
      <c r="CP23" s="63"/>
      <c r="CQ23" s="36"/>
      <c r="CR23" s="29">
        <f>COUNTIFS('2026'!$J$8:$J$185,"4",'2026'!$K$8:$K$185,"2028",'2026'!$R$8:$R$185,"инаяч")</f>
        <v>0</v>
      </c>
      <c r="CS23" s="32">
        <f>SUMIFS('2026'!$N$8:$N$185,'2026'!$K$8:$K$185,"2028",'2026'!$J$8:$J$185,"4",'2026'!$R$8:$R$185,"инаяч")</f>
        <v>0</v>
      </c>
      <c r="CT23" s="44">
        <f t="shared" si="54"/>
        <v>0</v>
      </c>
      <c r="CU23" s="63"/>
      <c r="CV23" s="63"/>
      <c r="CW23" s="36"/>
      <c r="CX23" s="29">
        <f>COUNTIFS('2026'!$J$8:$J$185,"4",'2026'!$K$8:$K$185,"2028",'2026'!$R$8:$R$185,"бесхозяйное")</f>
        <v>0</v>
      </c>
      <c r="CY23" s="32">
        <f>SUMIFS('2026'!$N$8:$N$185,'2026'!$K$8:$K$185,"2028",'2026'!$J$8:$J$185,"4",'2026'!$R$8:$R$185,"бесхозяйное")</f>
        <v>0</v>
      </c>
      <c r="DB23" s="46">
        <f t="shared" si="17"/>
        <v>4</v>
      </c>
      <c r="DC23" s="38">
        <f t="shared" si="81"/>
        <v>0</v>
      </c>
      <c r="DD23" s="38">
        <f t="shared" si="81"/>
        <v>0</v>
      </c>
      <c r="DE23" s="39">
        <f t="shared" si="68"/>
        <v>0</v>
      </c>
      <c r="DF23" s="47">
        <f t="shared" si="82"/>
        <v>4</v>
      </c>
      <c r="DG23" s="48">
        <f t="shared" si="82"/>
        <v>14</v>
      </c>
      <c r="DH23" s="49">
        <f>AL23+BP23</f>
        <v>0</v>
      </c>
      <c r="DI23" s="47"/>
      <c r="DJ23" s="47"/>
      <c r="DK23" s="50"/>
      <c r="DL23" s="47">
        <f t="shared" si="83"/>
        <v>0</v>
      </c>
      <c r="DM23" s="48">
        <f t="shared" si="83"/>
        <v>0</v>
      </c>
      <c r="DN23" s="49">
        <f t="shared" si="83"/>
        <v>0</v>
      </c>
      <c r="DO23" s="47"/>
      <c r="DP23" s="47"/>
      <c r="DQ23" s="50"/>
      <c r="DR23" s="47">
        <f t="shared" si="84"/>
        <v>0</v>
      </c>
      <c r="DS23" s="48">
        <f t="shared" si="84"/>
        <v>0</v>
      </c>
      <c r="DT23" s="49">
        <f t="shared" si="84"/>
        <v>4</v>
      </c>
      <c r="DU23" s="47"/>
      <c r="DV23" s="47"/>
      <c r="DW23" s="50"/>
      <c r="DX23" s="47">
        <f t="shared" si="85"/>
        <v>4</v>
      </c>
      <c r="DY23" s="48">
        <f t="shared" si="85"/>
        <v>14</v>
      </c>
    </row>
    <row r="24" spans="1:129" s="45" customFormat="1" ht="15.75" customHeight="1" x14ac:dyDescent="0.25">
      <c r="A24" s="28" t="s">
        <v>183</v>
      </c>
      <c r="B24" s="29">
        <f t="shared" si="21"/>
        <v>0</v>
      </c>
      <c r="C24" s="30"/>
      <c r="D24" s="30"/>
      <c r="E24" s="31"/>
      <c r="F24" s="29">
        <f t="shared" si="23"/>
        <v>0</v>
      </c>
      <c r="G24" s="32">
        <f t="shared" si="23"/>
        <v>0</v>
      </c>
      <c r="H24" s="33">
        <f t="shared" si="24"/>
        <v>0</v>
      </c>
      <c r="I24" s="34"/>
      <c r="J24" s="34"/>
      <c r="K24" s="35"/>
      <c r="L24" s="29">
        <f t="shared" si="63"/>
        <v>0</v>
      </c>
      <c r="M24" s="32">
        <f t="shared" si="63"/>
        <v>0</v>
      </c>
      <c r="N24" s="33">
        <f t="shared" si="26"/>
        <v>0</v>
      </c>
      <c r="O24" s="63"/>
      <c r="P24" s="63"/>
      <c r="Q24" s="36"/>
      <c r="R24" s="29">
        <f>COUNTIFS('2026'!$J$8:$J$185,"&gt;4",'2026'!$K$8:$K$185,"2028",'2026'!$R$8:$R$185,"республика")</f>
        <v>0</v>
      </c>
      <c r="S24" s="29">
        <f>SUMIFS('2026'!$N$8:$N$185,'2026'!$K$8:$K$185,"2028",'2026'!$J$8:$J$185,"&gt;4",'2026'!$R$8:$R$185,"республика")</f>
        <v>0</v>
      </c>
      <c r="T24" s="29">
        <f t="shared" si="28"/>
        <v>0</v>
      </c>
      <c r="U24" s="63"/>
      <c r="V24" s="63"/>
      <c r="W24" s="36"/>
      <c r="X24" s="29">
        <f>COUNTIFS('2026'!$J$8:$J$185,"&gt;4",'2026'!$K$8:$K$185,"2028",'2026'!$R$8:$R$185,"область")</f>
        <v>0</v>
      </c>
      <c r="Y24" s="29">
        <f>SUMIFS('2026'!$N$8:$N$185,'2026'!$K$8:$K$185,"2028",'2026'!$J$8:$J$185,"&gt;4",'2026'!$R$8:$R$185,"область")</f>
        <v>0</v>
      </c>
      <c r="Z24" s="29">
        <f t="shared" si="30"/>
        <v>0</v>
      </c>
      <c r="AA24" s="63"/>
      <c r="AB24" s="63"/>
      <c r="AC24" s="36"/>
      <c r="AD24" s="29">
        <f>COUNTIFS('2026'!$J$8:$J$185,"&gt;4",'2026'!$K$8:$K$185,"2028",'2026'!$R$8:$R$185,"район")</f>
        <v>0</v>
      </c>
      <c r="AE24" s="32">
        <f>SUMIFS('2026'!$N$8:$N$185,'2026'!$K$8:$K$185,"2028",'2026'!$J$8:$J$185,"&gt;4",'2026'!$R$8:$R$185,"район")</f>
        <v>0</v>
      </c>
      <c r="AF24" s="37">
        <f t="shared" si="32"/>
        <v>0</v>
      </c>
      <c r="AG24" s="38"/>
      <c r="AH24" s="38"/>
      <c r="AI24" s="39"/>
      <c r="AJ24" s="29">
        <f>AP24+AV24+BB24</f>
        <v>0</v>
      </c>
      <c r="AK24" s="32">
        <f t="shared" si="64"/>
        <v>0</v>
      </c>
      <c r="AL24" s="37">
        <f t="shared" si="34"/>
        <v>0</v>
      </c>
      <c r="AM24" s="63"/>
      <c r="AN24" s="63"/>
      <c r="AO24" s="36"/>
      <c r="AP24" s="29">
        <f>COUNTIFS('2026'!$J$8:$J$185,"&gt;4",'2026'!$K$8:$K$185,"2028",'2026'!$R$8:$R$185,"республика50б")</f>
        <v>0</v>
      </c>
      <c r="AQ24" s="29">
        <f>SUMIFS('2026'!$N$8:$N$185,'2026'!$K$8:$K$185,"2028",'2026'!$J$8:$J$185,"&gt;4",'2026'!$R$8:$R$185,"республика50б")</f>
        <v>0</v>
      </c>
      <c r="AR24" s="29">
        <f t="shared" si="36"/>
        <v>0</v>
      </c>
      <c r="AS24" s="63"/>
      <c r="AT24" s="63"/>
      <c r="AU24" s="36"/>
      <c r="AV24" s="29">
        <f>COUNTIFS('2026'!$J$8:$J$185,"&gt;4",'2026'!$K$8:$K$185,"2028",'2026'!$R$8:$R$185,"область50б")</f>
        <v>0</v>
      </c>
      <c r="AW24" s="29">
        <f>SUMIFS('2026'!$N$8:$N$185,'2026'!$K$8:$K$185,"2028",'2026'!$J$8:$J$185,"&gt;4",'2026'!$R$8:$R$185,"область50б")</f>
        <v>0</v>
      </c>
      <c r="AX24" s="29">
        <f t="shared" si="38"/>
        <v>0</v>
      </c>
      <c r="AY24" s="63"/>
      <c r="AZ24" s="63"/>
      <c r="BA24" s="36"/>
      <c r="BB24" s="29">
        <f>COUNTIFS('2026'!$J$8:$J$185,"&gt;4",'2026'!$K$8:$K$185,"2028",'2026'!$R$8:$R$185,"район50б")</f>
        <v>0</v>
      </c>
      <c r="BC24" s="32">
        <f>SUMIFS('2026'!$N$8:$N$185,'2026'!$K$8:$K$185,"2028",'2026'!$J$8:$J$185,"&gt;4",'2026'!$R$8:$R$185,"район50б")</f>
        <v>0</v>
      </c>
      <c r="BD24" s="37">
        <f t="shared" si="40"/>
        <v>0</v>
      </c>
      <c r="BE24" s="40">
        <f t="shared" si="41"/>
        <v>0</v>
      </c>
      <c r="BF24" s="40">
        <f t="shared" si="41"/>
        <v>0</v>
      </c>
      <c r="BG24" s="41"/>
      <c r="BH24" s="29">
        <f t="shared" si="73"/>
        <v>0</v>
      </c>
      <c r="BI24" s="32">
        <f t="shared" si="66"/>
        <v>0</v>
      </c>
      <c r="BJ24" s="37">
        <f t="shared" si="42"/>
        <v>0</v>
      </c>
      <c r="BK24" s="42"/>
      <c r="BL24" s="42"/>
      <c r="BM24" s="41"/>
      <c r="BN24" s="29">
        <f>BT24+BZ24+CF24</f>
        <v>0</v>
      </c>
      <c r="BO24" s="29">
        <f t="shared" si="65"/>
        <v>0</v>
      </c>
      <c r="BP24" s="29">
        <f t="shared" si="44"/>
        <v>0</v>
      </c>
      <c r="BQ24" s="63"/>
      <c r="BR24" s="63"/>
      <c r="BS24" s="36"/>
      <c r="BT24" s="29">
        <f>COUNTIFS('2026'!$J$8:$J$185,"&gt;4",'2026'!$K$8:$K$185,"2028",'2026'!$R$8:$R$185,"республика50м")</f>
        <v>0</v>
      </c>
      <c r="BU24" s="29">
        <f>SUMIFS('2026'!$N$8:$N$185,'2026'!$K$8:$K$185,"2028",'2026'!$J$8:$J$185,"&gt;4",'2026'!$R$8:$R$185,"республика50м")</f>
        <v>0</v>
      </c>
      <c r="BV24" s="29">
        <f t="shared" si="46"/>
        <v>0</v>
      </c>
      <c r="BW24" s="63"/>
      <c r="BX24" s="63"/>
      <c r="BY24" s="36"/>
      <c r="BZ24" s="29">
        <f>COUNTIFS('2026'!$J$8:$J$185,"&gt;4",'2026'!$K$8:$K$185,"2028",'2026'!$R$8:$R$185,"область50м")</f>
        <v>0</v>
      </c>
      <c r="CA24" s="29">
        <f>SUMIFS('2026'!$N$8:$N$185,'2026'!$K$8:$K$185,"2028",'2026'!$J$8:$J$185,"&gt;4",'2026'!$R$8:$R$185,"область50м")</f>
        <v>0</v>
      </c>
      <c r="CB24" s="29">
        <f t="shared" si="48"/>
        <v>0</v>
      </c>
      <c r="CC24" s="63"/>
      <c r="CD24" s="63"/>
      <c r="CE24" s="36"/>
      <c r="CF24" s="29">
        <f>COUNTIFS('2026'!$J$8:$J$185,"&gt;4",'2026'!$K$8:$K$185,"2028",'2026'!$R$8:$R$185,"район50м")</f>
        <v>0</v>
      </c>
      <c r="CG24" s="29">
        <f>SUMIFS('2026'!$N$8:$N$185,'2026'!$K$8:$K$185,"2028",'2026'!$J$8:$J$185,"&gt;4",'2026'!$R$8:$R$185,"район50м")</f>
        <v>0</v>
      </c>
      <c r="CH24" s="30">
        <f t="shared" si="50"/>
        <v>0</v>
      </c>
      <c r="CI24" s="63"/>
      <c r="CJ24" s="63"/>
      <c r="CK24" s="36"/>
      <c r="CL24" s="29">
        <f>COUNTIFS('2026'!$J$8:$J$185,"&gt;4",'2026'!$K$8:$K$185,"2028",'2026'!$R$8:$R$185,"райпо")</f>
        <v>0</v>
      </c>
      <c r="CM24" s="29">
        <f>SUMIFS('2026'!$N$8:$N$185,'2026'!$K$8:$K$185,"2028",'2026'!$J$8:$J$185,"&gt;4",'2026'!$R$8:$R$185,"райпо")</f>
        <v>0</v>
      </c>
      <c r="CN24" s="43">
        <f t="shared" si="52"/>
        <v>0</v>
      </c>
      <c r="CO24" s="63"/>
      <c r="CP24" s="63"/>
      <c r="CQ24" s="36"/>
      <c r="CR24" s="29">
        <f>COUNTIFS('2026'!$J$8:$J$185,"&gt;4",'2026'!$K$8:$K$185,"2028",'2026'!$R$8:$R$185,"инаяч")</f>
        <v>0</v>
      </c>
      <c r="CS24" s="32">
        <f>SUMIFS('2026'!$N$8:$N$185,'2026'!$K$8:$K$185,"2028",'2026'!$J$8:$J$185,"&gt;4",'2026'!$R$8:$R$185,"инаяч")</f>
        <v>0</v>
      </c>
      <c r="CT24" s="44">
        <f t="shared" si="54"/>
        <v>0</v>
      </c>
      <c r="CU24" s="63"/>
      <c r="CV24" s="63"/>
      <c r="CW24" s="36"/>
      <c r="CX24" s="29">
        <f>COUNTIFS('2026'!$J$8:$J$185,"&gt;4",'2026'!$K$8:$K$185,"2028",'2026'!$R$8:$R$185,"бесхозяйное")</f>
        <v>0</v>
      </c>
      <c r="CY24" s="32">
        <f>SUMIFS('2026'!$N$8:$N$185,'2026'!$K$8:$K$185,"2028",'2026'!$J$8:$J$185,"&gt;4",'2026'!$R$8:$R$185,"бесхозяйное")</f>
        <v>0</v>
      </c>
      <c r="DB24" s="46">
        <f t="shared" si="17"/>
        <v>0</v>
      </c>
      <c r="DC24" s="38">
        <f t="shared" si="81"/>
        <v>0</v>
      </c>
      <c r="DD24" s="38">
        <f t="shared" si="81"/>
        <v>0</v>
      </c>
      <c r="DE24" s="39">
        <f t="shared" si="68"/>
        <v>0</v>
      </c>
      <c r="DF24" s="47">
        <f t="shared" si="82"/>
        <v>0</v>
      </c>
      <c r="DG24" s="48">
        <f t="shared" si="82"/>
        <v>0</v>
      </c>
      <c r="DH24" s="49">
        <f>AL24+BP24</f>
        <v>0</v>
      </c>
      <c r="DI24" s="47"/>
      <c r="DJ24" s="47"/>
      <c r="DK24" s="50"/>
      <c r="DL24" s="47">
        <f t="shared" si="83"/>
        <v>0</v>
      </c>
      <c r="DM24" s="48">
        <f t="shared" si="83"/>
        <v>0</v>
      </c>
      <c r="DN24" s="49">
        <f t="shared" si="83"/>
        <v>0</v>
      </c>
      <c r="DO24" s="47"/>
      <c r="DP24" s="47"/>
      <c r="DQ24" s="50"/>
      <c r="DR24" s="47">
        <f t="shared" si="84"/>
        <v>0</v>
      </c>
      <c r="DS24" s="48">
        <f t="shared" si="84"/>
        <v>0</v>
      </c>
      <c r="DT24" s="49">
        <f t="shared" si="84"/>
        <v>0</v>
      </c>
      <c r="DU24" s="47"/>
      <c r="DV24" s="47"/>
      <c r="DW24" s="50"/>
      <c r="DX24" s="47">
        <f t="shared" si="85"/>
        <v>0</v>
      </c>
      <c r="DY24" s="48">
        <f t="shared" si="85"/>
        <v>0</v>
      </c>
    </row>
    <row r="25" spans="1:129" s="45" customFormat="1" ht="15.75" x14ac:dyDescent="0.25">
      <c r="A25" s="67">
        <v>2029</v>
      </c>
      <c r="B25" s="42">
        <f t="shared" si="21"/>
        <v>8</v>
      </c>
      <c r="C25" s="30"/>
      <c r="D25" s="30"/>
      <c r="E25" s="31"/>
      <c r="F25" s="42">
        <f t="shared" si="23"/>
        <v>8</v>
      </c>
      <c r="G25" s="52">
        <f t="shared" si="23"/>
        <v>30.4</v>
      </c>
      <c r="H25" s="53">
        <f t="shared" si="24"/>
        <v>0</v>
      </c>
      <c r="I25" s="34"/>
      <c r="J25" s="34"/>
      <c r="K25" s="35"/>
      <c r="L25" s="42">
        <f t="shared" si="63"/>
        <v>0</v>
      </c>
      <c r="M25" s="52">
        <f t="shared" si="63"/>
        <v>0</v>
      </c>
      <c r="N25" s="53">
        <f t="shared" si="26"/>
        <v>0</v>
      </c>
      <c r="O25" s="54"/>
      <c r="P25" s="54"/>
      <c r="Q25" s="41"/>
      <c r="R25" s="54">
        <f>SUM(R26:R29)</f>
        <v>0</v>
      </c>
      <c r="S25" s="54">
        <f>SUM(S26:S29)</f>
        <v>0</v>
      </c>
      <c r="T25" s="42">
        <f t="shared" si="28"/>
        <v>0</v>
      </c>
      <c r="U25" s="54"/>
      <c r="V25" s="54"/>
      <c r="W25" s="41"/>
      <c r="X25" s="54">
        <f>SUM(X26:X29)</f>
        <v>0</v>
      </c>
      <c r="Y25" s="54">
        <f>SUM(Y26:Y29)</f>
        <v>0</v>
      </c>
      <c r="Z25" s="42">
        <f t="shared" si="30"/>
        <v>0</v>
      </c>
      <c r="AA25" s="54"/>
      <c r="AB25" s="54"/>
      <c r="AC25" s="41"/>
      <c r="AD25" s="54">
        <f>SUM(AD26:AD29)</f>
        <v>0</v>
      </c>
      <c r="AE25" s="55">
        <f>SUM(AE26:AE29)</f>
        <v>0</v>
      </c>
      <c r="AF25" s="56">
        <f t="shared" si="32"/>
        <v>8</v>
      </c>
      <c r="AG25" s="38"/>
      <c r="AH25" s="38"/>
      <c r="AI25" s="39"/>
      <c r="AJ25" s="42">
        <f t="shared" ref="AJ25" si="86">AP25+AV25+BB25</f>
        <v>8</v>
      </c>
      <c r="AK25" s="52">
        <f t="shared" si="64"/>
        <v>30.4</v>
      </c>
      <c r="AL25" s="56">
        <f t="shared" si="34"/>
        <v>0</v>
      </c>
      <c r="AM25" s="54"/>
      <c r="AN25" s="54"/>
      <c r="AO25" s="41"/>
      <c r="AP25" s="54">
        <f>SUM(AP26:AP29)</f>
        <v>0</v>
      </c>
      <c r="AQ25" s="54">
        <f>SUM(AQ26:AQ29)</f>
        <v>0</v>
      </c>
      <c r="AR25" s="42">
        <f t="shared" si="36"/>
        <v>4</v>
      </c>
      <c r="AS25" s="54"/>
      <c r="AT25" s="54"/>
      <c r="AU25" s="41"/>
      <c r="AV25" s="54">
        <f>SUM(AV26:AV29)</f>
        <v>4</v>
      </c>
      <c r="AW25" s="54">
        <f>SUM(AW26:AW29)</f>
        <v>16.3</v>
      </c>
      <c r="AX25" s="42">
        <f t="shared" si="38"/>
        <v>4</v>
      </c>
      <c r="AY25" s="54"/>
      <c r="AZ25" s="54"/>
      <c r="BA25" s="41"/>
      <c r="BB25" s="54">
        <f>SUM(BB26:BB29)</f>
        <v>4</v>
      </c>
      <c r="BC25" s="55">
        <f>SUM(BC26:BC29)</f>
        <v>14.1</v>
      </c>
      <c r="BD25" s="57">
        <f t="shared" si="40"/>
        <v>0</v>
      </c>
      <c r="BE25" s="58">
        <f t="shared" si="41"/>
        <v>0</v>
      </c>
      <c r="BF25" s="58">
        <f t="shared" si="41"/>
        <v>0</v>
      </c>
      <c r="BG25" s="59">
        <f t="shared" ref="BG25" si="87">IFERROR(BF25/BE25*100,0)</f>
        <v>0</v>
      </c>
      <c r="BH25" s="54">
        <f t="shared" si="73"/>
        <v>0</v>
      </c>
      <c r="BI25" s="55">
        <f t="shared" si="66"/>
        <v>0</v>
      </c>
      <c r="BJ25" s="57">
        <f t="shared" si="42"/>
        <v>0</v>
      </c>
      <c r="BK25" s="54"/>
      <c r="BL25" s="54"/>
      <c r="BM25" s="59"/>
      <c r="BN25" s="54">
        <f t="shared" ref="BN25" si="88">BT25+BZ25+CF25</f>
        <v>0</v>
      </c>
      <c r="BO25" s="54">
        <f t="shared" si="65"/>
        <v>0</v>
      </c>
      <c r="BP25" s="54">
        <f t="shared" si="44"/>
        <v>0</v>
      </c>
      <c r="BQ25" s="54"/>
      <c r="BR25" s="54"/>
      <c r="BS25" s="41"/>
      <c r="BT25" s="54">
        <f>SUM(BT26:BT29)</f>
        <v>0</v>
      </c>
      <c r="BU25" s="54">
        <f>SUM(BU26:BU29)</f>
        <v>0</v>
      </c>
      <c r="BV25" s="54">
        <f t="shared" si="46"/>
        <v>0</v>
      </c>
      <c r="BW25" s="54"/>
      <c r="BX25" s="54"/>
      <c r="BY25" s="41"/>
      <c r="BZ25" s="54">
        <f>SUM(BZ26:BZ29)</f>
        <v>0</v>
      </c>
      <c r="CA25" s="54">
        <f>SUM(CA26:CA29)</f>
        <v>0</v>
      </c>
      <c r="CB25" s="42">
        <f t="shared" si="48"/>
        <v>0</v>
      </c>
      <c r="CC25" s="54"/>
      <c r="CD25" s="54"/>
      <c r="CE25" s="41"/>
      <c r="CF25" s="54">
        <f>SUM(CF26:CF29)</f>
        <v>0</v>
      </c>
      <c r="CG25" s="54">
        <f>SUM(CG26:CG29)</f>
        <v>0</v>
      </c>
      <c r="CH25" s="30">
        <f t="shared" si="50"/>
        <v>0</v>
      </c>
      <c r="CI25" s="54"/>
      <c r="CJ25" s="54"/>
      <c r="CK25" s="41"/>
      <c r="CL25" s="54">
        <f>SUM(CL26:CL29)</f>
        <v>0</v>
      </c>
      <c r="CM25" s="54">
        <f>SUM(CM26:CM29)</f>
        <v>0</v>
      </c>
      <c r="CN25" s="43">
        <f t="shared" si="52"/>
        <v>0</v>
      </c>
      <c r="CO25" s="54"/>
      <c r="CP25" s="54"/>
      <c r="CQ25" s="41"/>
      <c r="CR25" s="54">
        <f>SUM(CR26:CR29)</f>
        <v>0</v>
      </c>
      <c r="CS25" s="55">
        <f>SUM(CS26:CS29)</f>
        <v>0</v>
      </c>
      <c r="CT25" s="44">
        <f t="shared" si="54"/>
        <v>0</v>
      </c>
      <c r="CU25" s="54"/>
      <c r="CV25" s="54"/>
      <c r="CW25" s="41"/>
      <c r="CX25" s="54">
        <f>SUM(CX26:CX29)</f>
        <v>0</v>
      </c>
      <c r="CY25" s="55">
        <f>SUM(CY26:CY29)</f>
        <v>0</v>
      </c>
      <c r="DB25" s="60">
        <f t="shared" si="17"/>
        <v>8</v>
      </c>
      <c r="DC25" s="61">
        <f>SUM(DC26:DC29)</f>
        <v>0</v>
      </c>
      <c r="DD25" s="61">
        <f>SUM(DD26:DD29)</f>
        <v>0</v>
      </c>
      <c r="DE25" s="62">
        <f>IFERROR(DD25/DC25*100,0)</f>
        <v>0</v>
      </c>
      <c r="DF25" s="63">
        <f>SUM(DF26:DF29)</f>
        <v>8</v>
      </c>
      <c r="DG25" s="64">
        <f>SUM(DG26:DG29)</f>
        <v>30.4</v>
      </c>
      <c r="DH25" s="65">
        <f>DI25+DL25</f>
        <v>0</v>
      </c>
      <c r="DI25" s="63"/>
      <c r="DJ25" s="63"/>
      <c r="DK25" s="66"/>
      <c r="DL25" s="63">
        <f>SUM(DL26:DL29)</f>
        <v>0</v>
      </c>
      <c r="DM25" s="64">
        <f>SUM(DM26:DM29)</f>
        <v>0</v>
      </c>
      <c r="DN25" s="65">
        <f>DO25+DR25</f>
        <v>4</v>
      </c>
      <c r="DO25" s="63"/>
      <c r="DP25" s="63"/>
      <c r="DQ25" s="66"/>
      <c r="DR25" s="63">
        <f>SUM(DR26:DR29)</f>
        <v>4</v>
      </c>
      <c r="DS25" s="64">
        <f>SUM(DS26:DS29)</f>
        <v>16.3</v>
      </c>
      <c r="DT25" s="65">
        <f>DU25+DX25</f>
        <v>4</v>
      </c>
      <c r="DU25" s="63"/>
      <c r="DV25" s="63"/>
      <c r="DW25" s="66"/>
      <c r="DX25" s="63">
        <f>SUM(DX26:DX29)</f>
        <v>4</v>
      </c>
      <c r="DY25" s="64">
        <f>SUM(DY26:DY29)</f>
        <v>14.1</v>
      </c>
    </row>
    <row r="26" spans="1:129" s="45" customFormat="1" ht="15.75" customHeight="1" x14ac:dyDescent="0.25">
      <c r="A26" s="28" t="s">
        <v>184</v>
      </c>
      <c r="B26" s="29">
        <f t="shared" si="21"/>
        <v>0</v>
      </c>
      <c r="C26" s="30"/>
      <c r="D26" s="30"/>
      <c r="E26" s="31"/>
      <c r="F26" s="29">
        <f t="shared" si="23"/>
        <v>0</v>
      </c>
      <c r="G26" s="32">
        <f t="shared" si="23"/>
        <v>0</v>
      </c>
      <c r="H26" s="33">
        <f t="shared" si="24"/>
        <v>0</v>
      </c>
      <c r="I26" s="34"/>
      <c r="J26" s="34"/>
      <c r="K26" s="35"/>
      <c r="L26" s="29">
        <f t="shared" ref="L26:M34" si="89">R26+X26+AD26</f>
        <v>0</v>
      </c>
      <c r="M26" s="32">
        <f t="shared" si="89"/>
        <v>0</v>
      </c>
      <c r="N26" s="33">
        <f t="shared" si="26"/>
        <v>0</v>
      </c>
      <c r="O26" s="63"/>
      <c r="P26" s="63"/>
      <c r="Q26" s="36"/>
      <c r="R26" s="29">
        <f>COUNTIFS('2026'!$J$8:$J$185,"&lt;3",'2026'!$K$8:$K$185,"2029",'2026'!$R$8:$R$185,"республика")</f>
        <v>0</v>
      </c>
      <c r="S26" s="29">
        <f>SUMIFS('2026'!$N$8:$N$185,'2026'!$K$8:$K$185,"2029",'2026'!$J$8:$J$185,"&lt;3",'2026'!$R$8:$R$185,"республика")</f>
        <v>0</v>
      </c>
      <c r="T26" s="29">
        <f t="shared" si="28"/>
        <v>0</v>
      </c>
      <c r="U26" s="63"/>
      <c r="V26" s="63"/>
      <c r="W26" s="36"/>
      <c r="X26" s="29">
        <f>COUNTIFS('2026'!$J$8:$J$185,"&lt;3",'2026'!$K$8:$K$185,"2029",'2026'!$R$8:$R$185,"область")</f>
        <v>0</v>
      </c>
      <c r="Y26" s="29">
        <f>SUMIFS('2026'!$N$8:$N$185,'2026'!$K$8:$K$185,"2029",'2026'!$J$8:$J$185,"&lt;3",'2026'!$R$8:$R$185,"область")</f>
        <v>0</v>
      </c>
      <c r="Z26" s="29">
        <f t="shared" si="30"/>
        <v>0</v>
      </c>
      <c r="AA26" s="63"/>
      <c r="AB26" s="63"/>
      <c r="AC26" s="36"/>
      <c r="AD26" s="29">
        <f>COUNTIFS('2026'!$J$8:$J$185,"&lt;3",'2026'!$K$8:$K$185,"2029",'2026'!$R$8:$R$185,"район")</f>
        <v>0</v>
      </c>
      <c r="AE26" s="32">
        <f>SUMIFS('2026'!$N$8:$N$185,'2026'!$K$8:$K$185,"2029",'2026'!$J$8:$J$185,"&lt;3",'2026'!$R$8:$R$185,"район")</f>
        <v>0</v>
      </c>
      <c r="AF26" s="37">
        <f t="shared" si="32"/>
        <v>0</v>
      </c>
      <c r="AG26" s="38"/>
      <c r="AH26" s="38"/>
      <c r="AI26" s="39"/>
      <c r="AJ26" s="29">
        <f>AP26+AV26+BB26</f>
        <v>0</v>
      </c>
      <c r="AK26" s="32">
        <f t="shared" ref="AK26:AK34" si="90">AQ26+AW26+BC26</f>
        <v>0</v>
      </c>
      <c r="AL26" s="37">
        <f t="shared" si="34"/>
        <v>0</v>
      </c>
      <c r="AM26" s="63"/>
      <c r="AN26" s="63"/>
      <c r="AO26" s="36"/>
      <c r="AP26" s="29">
        <f>COUNTIFS('2026'!$J$8:$J$185,"&lt;3",'2026'!$K$8:$K$185,"2029",'2026'!$R$8:$R$185,"республика50б")</f>
        <v>0</v>
      </c>
      <c r="AQ26" s="29">
        <f>SUMIFS('2026'!$N$8:$N$185,'2026'!$K$8:$K$185,"2029",'2026'!$J$8:$J$185,"&lt;3",'2026'!$R$8:$R$185,"республика50б")</f>
        <v>0</v>
      </c>
      <c r="AR26" s="29">
        <f t="shared" si="36"/>
        <v>0</v>
      </c>
      <c r="AS26" s="63"/>
      <c r="AT26" s="63"/>
      <c r="AU26" s="36"/>
      <c r="AV26" s="29">
        <f>COUNTIFS('2026'!$J$8:$J$185,"&lt;3",'2026'!$K$8:$K$185,"2029",'2026'!$R$8:$R$185,"область50б")</f>
        <v>0</v>
      </c>
      <c r="AW26" s="29">
        <f>SUMIFS('2026'!$N$8:$N$185,'2026'!$K$8:$K$185,"2029",'2026'!$J$8:$J$185,"&lt;3",'2026'!$R$8:$R$185,"область50б")</f>
        <v>0</v>
      </c>
      <c r="AX26" s="29">
        <f t="shared" si="38"/>
        <v>0</v>
      </c>
      <c r="AY26" s="63"/>
      <c r="AZ26" s="63"/>
      <c r="BA26" s="36"/>
      <c r="BB26" s="29">
        <f>COUNTIFS('2026'!$J$8:$J$185,"&lt;3",'2026'!$K$8:$K$185,"2029",'2026'!$R$8:$R$185,"район50б")</f>
        <v>0</v>
      </c>
      <c r="BC26" s="32">
        <f>SUMIFS('2026'!$N$8:$N$185,'2026'!$K$8:$K$185,"2029",'2026'!$J$8:$J$185,"&lt;3",'2026'!$R$8:$R$185,"район50б")</f>
        <v>0</v>
      </c>
      <c r="BD26" s="37">
        <f t="shared" si="40"/>
        <v>0</v>
      </c>
      <c r="BE26" s="40">
        <f t="shared" si="41"/>
        <v>0</v>
      </c>
      <c r="BF26" s="40">
        <f t="shared" si="41"/>
        <v>0</v>
      </c>
      <c r="BG26" s="41"/>
      <c r="BH26" s="29">
        <f t="shared" si="73"/>
        <v>0</v>
      </c>
      <c r="BI26" s="32">
        <f t="shared" si="66"/>
        <v>0</v>
      </c>
      <c r="BJ26" s="37">
        <f t="shared" si="42"/>
        <v>0</v>
      </c>
      <c r="BK26" s="42"/>
      <c r="BL26" s="42"/>
      <c r="BM26" s="41"/>
      <c r="BN26" s="29">
        <f>BT26+BZ26+CF26</f>
        <v>0</v>
      </c>
      <c r="BO26" s="29">
        <f t="shared" ref="BO26:BO34" si="91">BU26+CA26+CG26</f>
        <v>0</v>
      </c>
      <c r="BP26" s="29">
        <f t="shared" si="44"/>
        <v>0</v>
      </c>
      <c r="BQ26" s="63"/>
      <c r="BR26" s="63"/>
      <c r="BS26" s="36"/>
      <c r="BT26" s="29">
        <f>COUNTIFS('2026'!$J$8:$J$185,"&lt;3",'2026'!$K$8:$K$185,"2029",'2026'!$R$8:$R$185,"республика50м")</f>
        <v>0</v>
      </c>
      <c r="BU26" s="29">
        <f>SUMIFS('2026'!$N$8:$N$185,'2026'!$K$8:$K$185,"2029",'2026'!$J$8:$J$185,"&lt;3",'2026'!$R$8:$R$185,"республика50м")</f>
        <v>0</v>
      </c>
      <c r="BV26" s="29">
        <f t="shared" si="46"/>
        <v>0</v>
      </c>
      <c r="BW26" s="63"/>
      <c r="BX26" s="63"/>
      <c r="BY26" s="36"/>
      <c r="BZ26" s="29">
        <f>COUNTIFS('2026'!$J$8:$J$185,"&lt;3",'2026'!$K$8:$K$185,"2029",'2026'!$R$8:$R$185,"область50м")</f>
        <v>0</v>
      </c>
      <c r="CA26" s="29">
        <f>SUMIFS('2026'!$N$8:$N$185,'2026'!$K$8:$K$185,"2029",'2026'!$J$8:$J$185,"&lt;3",'2026'!$R$8:$R$185,"область50м")</f>
        <v>0</v>
      </c>
      <c r="CB26" s="29">
        <f t="shared" si="48"/>
        <v>0</v>
      </c>
      <c r="CC26" s="63"/>
      <c r="CD26" s="63"/>
      <c r="CE26" s="36"/>
      <c r="CF26" s="29">
        <f>COUNTIFS('2026'!$J$8:$J$185,"&lt;3",'2026'!$K$8:$K$185,"2029",'2026'!$R$8:$R$185,"район50м")</f>
        <v>0</v>
      </c>
      <c r="CG26" s="29">
        <f>SUMIFS('2026'!$N$8:$N$185,'2026'!$K$8:$K$185,"2029",'2026'!$J$8:$J$185,"&lt;3",'2026'!$R$8:$R$185,"район50м")</f>
        <v>0</v>
      </c>
      <c r="CH26" s="30">
        <f t="shared" si="50"/>
        <v>0</v>
      </c>
      <c r="CI26" s="63"/>
      <c r="CJ26" s="63"/>
      <c r="CK26" s="36"/>
      <c r="CL26" s="29">
        <f>COUNTIFS('2026'!$J$8:$J$185,"&lt;3",'2026'!$K$8:$K$185,"2029",'2026'!$R$8:$R$185,"райпо")</f>
        <v>0</v>
      </c>
      <c r="CM26" s="29">
        <f>SUMIFS('2026'!$N$8:$N$185,'2026'!$K$8:$K$185,"2029",'2026'!$J$8:$J$185,"&lt;3",'2026'!$R$8:$R$185,"райпо")</f>
        <v>0</v>
      </c>
      <c r="CN26" s="43">
        <f t="shared" si="52"/>
        <v>0</v>
      </c>
      <c r="CO26" s="63"/>
      <c r="CP26" s="63"/>
      <c r="CQ26" s="36"/>
      <c r="CR26" s="29">
        <f>COUNTIFS('2026'!$J$8:$J$185,"&lt;3",'2026'!$K$8:$K$185,"2029",'2026'!$R$8:$R$185,"инаяч")</f>
        <v>0</v>
      </c>
      <c r="CS26" s="32">
        <f>SUMIFS('2026'!$N$8:$N$185,'2026'!$K$8:$K$185,"2029",'2026'!$J$8:$J$185,"&lt;3",'2026'!$R$8:$R$185,"инаяч")</f>
        <v>0</v>
      </c>
      <c r="CT26" s="44">
        <f t="shared" si="54"/>
        <v>0</v>
      </c>
      <c r="CU26" s="63"/>
      <c r="CV26" s="63"/>
      <c r="CW26" s="36"/>
      <c r="CX26" s="29">
        <f>COUNTIFS('2026'!$J$8:$J$185,"&lt;3",'2026'!$K$8:$K$185,"2029",'2026'!$R$8:$R$185,"бесхозяйное")</f>
        <v>0</v>
      </c>
      <c r="CY26" s="32">
        <f>SUMIFS('2026'!$N$8:$N$185,'2026'!$K$8:$K$185,"2029",'2026'!$J$8:$J$185,"&lt;3",'2026'!$R$8:$R$185,"бесхозяйное")</f>
        <v>0</v>
      </c>
      <c r="DB26" s="46">
        <f t="shared" si="17"/>
        <v>0</v>
      </c>
      <c r="DC26" s="38">
        <f t="shared" ref="DC26:DD29" si="92">DI26+DO26+DU26</f>
        <v>0</v>
      </c>
      <c r="DD26" s="38">
        <f t="shared" si="92"/>
        <v>0</v>
      </c>
      <c r="DE26" s="39">
        <f t="shared" si="68"/>
        <v>0</v>
      </c>
      <c r="DF26" s="47">
        <f t="shared" ref="DF26:DG29" si="93">DL26+DR26+DX26</f>
        <v>0</v>
      </c>
      <c r="DG26" s="48">
        <f t="shared" si="93"/>
        <v>0</v>
      </c>
      <c r="DH26" s="49">
        <f>AL26+BP26</f>
        <v>0</v>
      </c>
      <c r="DI26" s="47"/>
      <c r="DJ26" s="47"/>
      <c r="DK26" s="50"/>
      <c r="DL26" s="47">
        <f t="shared" ref="DL26:DN29" si="94">AP26+BT26</f>
        <v>0</v>
      </c>
      <c r="DM26" s="48">
        <f t="shared" si="94"/>
        <v>0</v>
      </c>
      <c r="DN26" s="49">
        <f t="shared" si="94"/>
        <v>0</v>
      </c>
      <c r="DO26" s="47"/>
      <c r="DP26" s="47"/>
      <c r="DQ26" s="50"/>
      <c r="DR26" s="47">
        <f t="shared" ref="DR26:DT29" si="95">AV26+BZ26</f>
        <v>0</v>
      </c>
      <c r="DS26" s="48">
        <f t="shared" si="95"/>
        <v>0</v>
      </c>
      <c r="DT26" s="49">
        <f t="shared" si="95"/>
        <v>0</v>
      </c>
      <c r="DU26" s="47"/>
      <c r="DV26" s="47"/>
      <c r="DW26" s="50"/>
      <c r="DX26" s="47">
        <f t="shared" ref="DX26:DY29" si="96">BB26+CF26</f>
        <v>0</v>
      </c>
      <c r="DY26" s="48">
        <f t="shared" si="96"/>
        <v>0</v>
      </c>
    </row>
    <row r="27" spans="1:129" s="45" customFormat="1" ht="15.75" customHeight="1" x14ac:dyDescent="0.25">
      <c r="A27" s="28" t="s">
        <v>185</v>
      </c>
      <c r="B27" s="29">
        <f t="shared" si="21"/>
        <v>2</v>
      </c>
      <c r="C27" s="30"/>
      <c r="D27" s="30"/>
      <c r="E27" s="31"/>
      <c r="F27" s="29">
        <f t="shared" si="23"/>
        <v>2</v>
      </c>
      <c r="G27" s="32">
        <f t="shared" si="23"/>
        <v>2.7</v>
      </c>
      <c r="H27" s="33">
        <f t="shared" si="24"/>
        <v>0</v>
      </c>
      <c r="I27" s="34"/>
      <c r="J27" s="34"/>
      <c r="K27" s="35"/>
      <c r="L27" s="29">
        <f t="shared" si="89"/>
        <v>0</v>
      </c>
      <c r="M27" s="32">
        <f t="shared" si="89"/>
        <v>0</v>
      </c>
      <c r="N27" s="33">
        <f t="shared" si="26"/>
        <v>0</v>
      </c>
      <c r="O27" s="63"/>
      <c r="P27" s="63"/>
      <c r="Q27" s="36"/>
      <c r="R27" s="29">
        <f>COUNTIFS('2026'!$J$8:$J$185,"3",'2026'!$K$8:$K$185,"2029",'2026'!$R$8:$R$185,"республика")</f>
        <v>0</v>
      </c>
      <c r="S27" s="29">
        <f>SUMIFS('2026'!$N$8:$N$185,'2026'!$K$8:$K$185,"2029",'2026'!$J$8:$J$185,"3",'2026'!$R$8:$R$185,"республика")</f>
        <v>0</v>
      </c>
      <c r="T27" s="29">
        <f t="shared" si="28"/>
        <v>0</v>
      </c>
      <c r="U27" s="63"/>
      <c r="V27" s="63"/>
      <c r="W27" s="36"/>
      <c r="X27" s="29">
        <f>COUNTIFS('2026'!$J$8:$J$185,"3",'2026'!$K$8:$K$185,"2029",'2026'!$R$8:$R$185,"область")</f>
        <v>0</v>
      </c>
      <c r="Y27" s="29">
        <f>SUMIFS('2026'!$N$8:$N$185,'2026'!$K$8:$K$185,"2029",'2026'!$J$8:$J$185,"3",'2026'!$R$8:$R$185,"область")</f>
        <v>0</v>
      </c>
      <c r="Z27" s="29">
        <f t="shared" si="30"/>
        <v>0</v>
      </c>
      <c r="AA27" s="63"/>
      <c r="AB27" s="63"/>
      <c r="AC27" s="36"/>
      <c r="AD27" s="29">
        <f>COUNTIFS('2026'!$J$8:$J$185,"3",'2026'!$K$8:$K$185,"2029",'2026'!$R$8:$R$185,"район")</f>
        <v>0</v>
      </c>
      <c r="AE27" s="32">
        <f>SUMIFS('2026'!$N$8:$N$185,'2026'!$K$8:$K$185,"2029",'2026'!$J$8:$J$185,"3",'2026'!$R$8:$R$185,"район")</f>
        <v>0</v>
      </c>
      <c r="AF27" s="37">
        <f t="shared" si="32"/>
        <v>2</v>
      </c>
      <c r="AG27" s="38"/>
      <c r="AH27" s="38"/>
      <c r="AI27" s="39"/>
      <c r="AJ27" s="29">
        <f>AP27+AV27+BB27</f>
        <v>2</v>
      </c>
      <c r="AK27" s="32">
        <f t="shared" si="90"/>
        <v>2.7</v>
      </c>
      <c r="AL27" s="37">
        <f t="shared" si="34"/>
        <v>0</v>
      </c>
      <c r="AM27" s="63"/>
      <c r="AN27" s="63"/>
      <c r="AO27" s="36"/>
      <c r="AP27" s="29">
        <f>COUNTIFS('2026'!$J$8:$J$185,"3",'2026'!$K$8:$K$185,"2029",'2026'!$R$8:$R$185,"республика50б")</f>
        <v>0</v>
      </c>
      <c r="AQ27" s="29">
        <f>SUMIFS('2026'!$N$8:$N$185,'2026'!$K$8:$K$185,"2029",'2026'!$J$8:$J$185,"3",'2026'!$R$8:$R$185,"республика50б")</f>
        <v>0</v>
      </c>
      <c r="AR27" s="29">
        <f t="shared" si="36"/>
        <v>0</v>
      </c>
      <c r="AS27" s="63"/>
      <c r="AT27" s="63"/>
      <c r="AU27" s="36"/>
      <c r="AV27" s="29">
        <f>COUNTIFS('2026'!$J$8:$J$185,"3",'2026'!$K$8:$K$185,"2029",'2026'!$R$8:$R$185,"область50б")</f>
        <v>0</v>
      </c>
      <c r="AW27" s="29">
        <f>SUMIFS('2026'!$N$8:$N$185,'2026'!$K$8:$K$185,"2029",'2026'!$J$8:$J$185,"3",'2026'!$R$8:$R$185,"область50б")</f>
        <v>0</v>
      </c>
      <c r="AX27" s="29">
        <f t="shared" si="38"/>
        <v>2</v>
      </c>
      <c r="AY27" s="63"/>
      <c r="AZ27" s="63"/>
      <c r="BA27" s="36"/>
      <c r="BB27" s="29">
        <f>COUNTIFS('2026'!$J$8:$J$185,"3",'2026'!$K$8:$K$185,"2029",'2026'!$R$8:$R$185,"район50б")</f>
        <v>2</v>
      </c>
      <c r="BC27" s="32">
        <f>SUMIFS('2026'!$N$8:$N$185,'2026'!$K$8:$K$185,"2029",'2026'!$J$8:$J$185,"3",'2026'!$R$8:$R$185,"район50б")</f>
        <v>2.7</v>
      </c>
      <c r="BD27" s="37">
        <f t="shared" si="40"/>
        <v>0</v>
      </c>
      <c r="BE27" s="40">
        <f t="shared" si="41"/>
        <v>0</v>
      </c>
      <c r="BF27" s="40">
        <f t="shared" si="41"/>
        <v>0</v>
      </c>
      <c r="BG27" s="41"/>
      <c r="BH27" s="29">
        <f t="shared" si="73"/>
        <v>0</v>
      </c>
      <c r="BI27" s="32">
        <f t="shared" si="66"/>
        <v>0</v>
      </c>
      <c r="BJ27" s="37">
        <f t="shared" si="42"/>
        <v>0</v>
      </c>
      <c r="BK27" s="42"/>
      <c r="BL27" s="42"/>
      <c r="BM27" s="41"/>
      <c r="BN27" s="29">
        <f>BT27+BZ27+CF27</f>
        <v>0</v>
      </c>
      <c r="BO27" s="29">
        <f t="shared" si="91"/>
        <v>0</v>
      </c>
      <c r="BP27" s="29">
        <f t="shared" si="44"/>
        <v>0</v>
      </c>
      <c r="BQ27" s="63"/>
      <c r="BR27" s="63"/>
      <c r="BS27" s="36"/>
      <c r="BT27" s="29">
        <f>COUNTIFS('2026'!$J$8:$J$185,"3",'2026'!$K$8:$K$185,"2029",'2026'!$R$8:$R$185,"республика50м")</f>
        <v>0</v>
      </c>
      <c r="BU27" s="29">
        <f>SUMIFS('2026'!$N$8:$N$185,'2026'!$K$8:$K$185,"2029",'2026'!$J$8:$J$185,"3",'2026'!$R$8:$R$185,"республика50м")</f>
        <v>0</v>
      </c>
      <c r="BV27" s="29">
        <f t="shared" si="46"/>
        <v>0</v>
      </c>
      <c r="BW27" s="63"/>
      <c r="BX27" s="63"/>
      <c r="BY27" s="36"/>
      <c r="BZ27" s="29">
        <f>COUNTIFS('2026'!$J$8:$J$185,"3",'2026'!$K$8:$K$185,"2029",'2026'!$R$8:$R$185,"область50м")</f>
        <v>0</v>
      </c>
      <c r="CA27" s="29">
        <f>SUMIFS('2026'!$N$8:$N$185,'2026'!$K$8:$K$185,"2029",'2026'!$J$8:$J$185,"3",'2026'!$R$8:$R$185,"область50м")</f>
        <v>0</v>
      </c>
      <c r="CB27" s="29">
        <f t="shared" si="48"/>
        <v>0</v>
      </c>
      <c r="CC27" s="63"/>
      <c r="CD27" s="63"/>
      <c r="CE27" s="36"/>
      <c r="CF27" s="29">
        <f>COUNTIFS('2026'!$J$8:$J$185,"3",'2026'!$K$8:$K$185,"2029",'2026'!$R$8:$R$185,"район50м")</f>
        <v>0</v>
      </c>
      <c r="CG27" s="29">
        <f>SUMIFS('2026'!$N$8:$N$185,'2026'!$K$8:$K$185,"2029",'2026'!$J$8:$J$185,"3",'2026'!$R$8:$R$185,"район50м")</f>
        <v>0</v>
      </c>
      <c r="CH27" s="30">
        <f t="shared" si="50"/>
        <v>0</v>
      </c>
      <c r="CI27" s="63"/>
      <c r="CJ27" s="63"/>
      <c r="CK27" s="36"/>
      <c r="CL27" s="29">
        <f>COUNTIFS('2026'!$J$8:$J$185,"3",'2026'!$K$8:$K$185,"2029",'2026'!$R$8:$R$185,"райпо")</f>
        <v>0</v>
      </c>
      <c r="CM27" s="29">
        <f>SUMIFS('2026'!$N$8:$N$185,'2026'!$K$8:$K$185,"2029",'2026'!$J$8:$J$185,"3",'2026'!$R$8:$R$185,"райпо")</f>
        <v>0</v>
      </c>
      <c r="CN27" s="43">
        <f t="shared" si="52"/>
        <v>0</v>
      </c>
      <c r="CO27" s="63"/>
      <c r="CP27" s="63"/>
      <c r="CQ27" s="36"/>
      <c r="CR27" s="29">
        <f>COUNTIFS('2026'!$J$8:$J$185,"3",'2026'!$K$8:$K$185,"2029",'2026'!$R$8:$R$185,"инаяч")</f>
        <v>0</v>
      </c>
      <c r="CS27" s="32">
        <f>SUMIFS('2026'!$N$8:$N$185,'2026'!$K$8:$K$185,"2029",'2026'!$J$8:$J$185,"3",'2026'!$R$8:$R$185,"инаяч")</f>
        <v>0</v>
      </c>
      <c r="CT27" s="44">
        <f t="shared" si="54"/>
        <v>0</v>
      </c>
      <c r="CU27" s="63"/>
      <c r="CV27" s="63"/>
      <c r="CW27" s="36"/>
      <c r="CX27" s="29">
        <f>COUNTIFS('2026'!$J$8:$J$185,"3",'2026'!$K$8:$K$185,"2029",'2026'!$R$8:$R$185,"бесхозяйное")</f>
        <v>0</v>
      </c>
      <c r="CY27" s="32">
        <f>SUMIFS('2026'!$N$8:$N$185,'2026'!$K$8:$K$185,"2029",'2026'!$J$8:$J$185,"3",'2026'!$R$8:$R$185,"бесхозяйное")</f>
        <v>0</v>
      </c>
      <c r="DB27" s="46">
        <f t="shared" si="17"/>
        <v>2</v>
      </c>
      <c r="DC27" s="38">
        <f t="shared" si="92"/>
        <v>0</v>
      </c>
      <c r="DD27" s="38">
        <f t="shared" si="92"/>
        <v>0</v>
      </c>
      <c r="DE27" s="39">
        <f t="shared" si="68"/>
        <v>0</v>
      </c>
      <c r="DF27" s="47">
        <f t="shared" si="93"/>
        <v>2</v>
      </c>
      <c r="DG27" s="48">
        <f t="shared" si="93"/>
        <v>2.7</v>
      </c>
      <c r="DH27" s="49">
        <f>AL27+BP27</f>
        <v>0</v>
      </c>
      <c r="DI27" s="47"/>
      <c r="DJ27" s="47"/>
      <c r="DK27" s="50"/>
      <c r="DL27" s="47">
        <f t="shared" si="94"/>
        <v>0</v>
      </c>
      <c r="DM27" s="48">
        <f t="shared" si="94"/>
        <v>0</v>
      </c>
      <c r="DN27" s="49">
        <f t="shared" si="94"/>
        <v>0</v>
      </c>
      <c r="DO27" s="47"/>
      <c r="DP27" s="47"/>
      <c r="DQ27" s="50"/>
      <c r="DR27" s="47">
        <f t="shared" si="95"/>
        <v>0</v>
      </c>
      <c r="DS27" s="48">
        <f t="shared" si="95"/>
        <v>0</v>
      </c>
      <c r="DT27" s="49">
        <f t="shared" si="95"/>
        <v>2</v>
      </c>
      <c r="DU27" s="47"/>
      <c r="DV27" s="47"/>
      <c r="DW27" s="50"/>
      <c r="DX27" s="47">
        <f t="shared" si="96"/>
        <v>2</v>
      </c>
      <c r="DY27" s="48">
        <f t="shared" si="96"/>
        <v>2.7</v>
      </c>
    </row>
    <row r="28" spans="1:129" s="45" customFormat="1" ht="15.75" customHeight="1" x14ac:dyDescent="0.25">
      <c r="A28" s="28" t="s">
        <v>186</v>
      </c>
      <c r="B28" s="29">
        <f t="shared" si="21"/>
        <v>2</v>
      </c>
      <c r="C28" s="30"/>
      <c r="D28" s="30"/>
      <c r="E28" s="31"/>
      <c r="F28" s="29">
        <f t="shared" si="23"/>
        <v>2</v>
      </c>
      <c r="G28" s="32">
        <f t="shared" si="23"/>
        <v>12.5</v>
      </c>
      <c r="H28" s="33">
        <f t="shared" si="24"/>
        <v>0</v>
      </c>
      <c r="I28" s="34"/>
      <c r="J28" s="34"/>
      <c r="K28" s="35"/>
      <c r="L28" s="29">
        <f t="shared" si="89"/>
        <v>0</v>
      </c>
      <c r="M28" s="32">
        <f t="shared" si="89"/>
        <v>0</v>
      </c>
      <c r="N28" s="33">
        <f t="shared" si="26"/>
        <v>0</v>
      </c>
      <c r="O28" s="63"/>
      <c r="P28" s="63"/>
      <c r="Q28" s="36"/>
      <c r="R28" s="29">
        <f>COUNTIFS('2026'!$J$8:$J$185,"4",'2026'!$K$8:$K$185,"2029",'2026'!$R$8:$R$185,"республика")</f>
        <v>0</v>
      </c>
      <c r="S28" s="29">
        <f>SUMIFS('2026'!$N$8:$N$185,'2026'!$K$8:$K$185,"2029",'2026'!$J$8:$J$185,"4",'2026'!$R$8:$R$185,"республика")</f>
        <v>0</v>
      </c>
      <c r="T28" s="29">
        <f t="shared" si="28"/>
        <v>0</v>
      </c>
      <c r="U28" s="63"/>
      <c r="V28" s="63"/>
      <c r="W28" s="36"/>
      <c r="X28" s="29">
        <f>COUNTIFS('2026'!$J$8:$J$185,"4",'2026'!$K$8:$K$185,"2029",'2026'!$R$8:$R$185,"область")</f>
        <v>0</v>
      </c>
      <c r="Y28" s="29">
        <f>SUMIFS('2026'!$N$8:$N$185,'2026'!$K$8:$K$185,"2029",'2026'!$J$8:$J$185,"4",'2026'!$R$8:$R$185,"область")</f>
        <v>0</v>
      </c>
      <c r="Z28" s="29">
        <f t="shared" si="30"/>
        <v>0</v>
      </c>
      <c r="AA28" s="63"/>
      <c r="AB28" s="63"/>
      <c r="AC28" s="36"/>
      <c r="AD28" s="29">
        <f>COUNTIFS('2026'!$J$8:$J$185,"4",'2026'!$K$8:$K$185,"2029",'2026'!$R$8:$R$185,"район")</f>
        <v>0</v>
      </c>
      <c r="AE28" s="32">
        <f>SUMIFS('2026'!$N$8:$N$185,'2026'!$K$8:$K$185,"2029",'2026'!$J$8:$J$185,"4",'2026'!$R$8:$R$185,"район")</f>
        <v>0</v>
      </c>
      <c r="AF28" s="37">
        <f t="shared" si="32"/>
        <v>2</v>
      </c>
      <c r="AG28" s="38"/>
      <c r="AH28" s="38"/>
      <c r="AI28" s="39"/>
      <c r="AJ28" s="29">
        <f>AP28+AV28+BB28</f>
        <v>2</v>
      </c>
      <c r="AK28" s="32">
        <f t="shared" si="90"/>
        <v>12.5</v>
      </c>
      <c r="AL28" s="37">
        <f t="shared" si="34"/>
        <v>0</v>
      </c>
      <c r="AM28" s="63"/>
      <c r="AN28" s="63"/>
      <c r="AO28" s="36"/>
      <c r="AP28" s="29">
        <f>COUNTIFS('2026'!$J$8:$J$185,"4",'2026'!$K$8:$K$185,"2029",'2026'!$R$8:$R$185,"республика50б")</f>
        <v>0</v>
      </c>
      <c r="AQ28" s="29">
        <f>SUMIFS('2026'!$N$8:$N$185,'2026'!$K$8:$K$185,"2029",'2026'!$J$8:$J$185,"4",'2026'!$R$8:$R$185,"республика50б")</f>
        <v>0</v>
      </c>
      <c r="AR28" s="29">
        <f t="shared" si="36"/>
        <v>1</v>
      </c>
      <c r="AS28" s="63"/>
      <c r="AT28" s="63"/>
      <c r="AU28" s="36"/>
      <c r="AV28" s="29">
        <f>COUNTIFS('2026'!$J$8:$J$185,"4",'2026'!$K$8:$K$185,"2029",'2026'!$R$8:$R$185,"область50б")</f>
        <v>1</v>
      </c>
      <c r="AW28" s="29">
        <f>SUMIFS('2026'!$N$8:$N$185,'2026'!$K$8:$K$185,"2029",'2026'!$J$8:$J$185,"4",'2026'!$R$8:$R$185,"область50б")</f>
        <v>3</v>
      </c>
      <c r="AX28" s="29">
        <f t="shared" si="38"/>
        <v>1</v>
      </c>
      <c r="AY28" s="63"/>
      <c r="AZ28" s="63"/>
      <c r="BA28" s="36"/>
      <c r="BB28" s="29">
        <f>COUNTIFS('2026'!$J$8:$J$185,"4",'2026'!$K$8:$K$185,"2029",'2026'!$R$8:$R$185,"район50б")</f>
        <v>1</v>
      </c>
      <c r="BC28" s="32">
        <f>SUMIFS('2026'!$N$8:$N$185,'2026'!$K$8:$K$185,"2029",'2026'!$J$8:$J$185,"4",'2026'!$R$8:$R$185,"район50б")</f>
        <v>9.5</v>
      </c>
      <c r="BD28" s="37">
        <f t="shared" si="40"/>
        <v>0</v>
      </c>
      <c r="BE28" s="40">
        <f t="shared" si="41"/>
        <v>0</v>
      </c>
      <c r="BF28" s="40">
        <f t="shared" si="41"/>
        <v>0</v>
      </c>
      <c r="BG28" s="41"/>
      <c r="BH28" s="29">
        <f t="shared" si="73"/>
        <v>0</v>
      </c>
      <c r="BI28" s="32">
        <f t="shared" si="66"/>
        <v>0</v>
      </c>
      <c r="BJ28" s="37">
        <f t="shared" si="42"/>
        <v>0</v>
      </c>
      <c r="BK28" s="42"/>
      <c r="BL28" s="42"/>
      <c r="BM28" s="41"/>
      <c r="BN28" s="29">
        <f>BT28+BZ28+CF28</f>
        <v>0</v>
      </c>
      <c r="BO28" s="29">
        <f t="shared" si="91"/>
        <v>0</v>
      </c>
      <c r="BP28" s="29">
        <f t="shared" si="44"/>
        <v>0</v>
      </c>
      <c r="BQ28" s="63"/>
      <c r="BR28" s="63"/>
      <c r="BS28" s="36"/>
      <c r="BT28" s="29">
        <f>COUNTIFS('2026'!$J$8:$J$185,"4",'2026'!$K$8:$K$185,"2029",'2026'!$R$8:$R$185,"республика50м")</f>
        <v>0</v>
      </c>
      <c r="BU28" s="29">
        <f>SUMIFS('2026'!$N$8:$N$185,'2026'!$K$8:$K$185,"2029",'2026'!$J$8:$J$185,"4",'2026'!$R$8:$R$185,"республика50м")</f>
        <v>0</v>
      </c>
      <c r="BV28" s="29">
        <f t="shared" si="46"/>
        <v>0</v>
      </c>
      <c r="BW28" s="63"/>
      <c r="BX28" s="63"/>
      <c r="BY28" s="36"/>
      <c r="BZ28" s="29">
        <f>COUNTIFS('2026'!$J$8:$J$185,"4",'2026'!$K$8:$K$185,"2029",'2026'!$R$8:$R$185,"область50м")</f>
        <v>0</v>
      </c>
      <c r="CA28" s="29">
        <f>SUMIFS('2026'!$N$8:$N$185,'2026'!$K$8:$K$185,"2029",'2026'!$J$8:$J$185,"4",'2026'!$R$8:$R$185,"область50м")</f>
        <v>0</v>
      </c>
      <c r="CB28" s="29">
        <f t="shared" si="48"/>
        <v>0</v>
      </c>
      <c r="CC28" s="63"/>
      <c r="CD28" s="63"/>
      <c r="CE28" s="36"/>
      <c r="CF28" s="29">
        <f>COUNTIFS('2026'!$J$8:$J$185,"4",'2026'!$K$8:$K$185,"2029",'2026'!$R$8:$R$185,"район50м")</f>
        <v>0</v>
      </c>
      <c r="CG28" s="29">
        <f>SUMIFS('2026'!$N$8:$N$185,'2026'!$K$8:$K$185,"2029",'2026'!$J$8:$J$185,"4",'2026'!$R$8:$R$185,"район50м")</f>
        <v>0</v>
      </c>
      <c r="CH28" s="30">
        <f t="shared" si="50"/>
        <v>0</v>
      </c>
      <c r="CI28" s="63"/>
      <c r="CJ28" s="63"/>
      <c r="CK28" s="36"/>
      <c r="CL28" s="29">
        <f>COUNTIFS('2026'!$J$8:$J$185,"4",'2026'!$K$8:$K$185,"2029",'2026'!$R$8:$R$185,"райпо")</f>
        <v>0</v>
      </c>
      <c r="CM28" s="29">
        <f>SUMIFS('2026'!$N$8:$N$185,'2026'!$K$8:$K$185,"2029",'2026'!$J$8:$J$185,"4",'2026'!$R$8:$R$185,"райпо")</f>
        <v>0</v>
      </c>
      <c r="CN28" s="43">
        <f t="shared" si="52"/>
        <v>0</v>
      </c>
      <c r="CO28" s="63"/>
      <c r="CP28" s="63"/>
      <c r="CQ28" s="36"/>
      <c r="CR28" s="29">
        <f>COUNTIFS('2026'!$J$8:$J$185,"4",'2026'!$K$8:$K$185,"2029",'2026'!$R$8:$R$185,"инаяч")</f>
        <v>0</v>
      </c>
      <c r="CS28" s="32">
        <f>SUMIFS('2026'!$N$8:$N$185,'2026'!$K$8:$K$185,"2029",'2026'!$J$8:$J$185,"4",'2026'!$R$8:$R$185,"инаяч")</f>
        <v>0</v>
      </c>
      <c r="CT28" s="44">
        <f t="shared" si="54"/>
        <v>0</v>
      </c>
      <c r="CU28" s="63"/>
      <c r="CV28" s="63"/>
      <c r="CW28" s="36"/>
      <c r="CX28" s="29">
        <f>COUNTIFS('2026'!$J$8:$J$185,"4",'2026'!$K$8:$K$185,"2029",'2026'!$R$8:$R$185,"бесхозяйное")</f>
        <v>0</v>
      </c>
      <c r="CY28" s="32">
        <f>SUMIFS('2026'!$N$8:$N$185,'2026'!$K$8:$K$185,"2029",'2026'!$J$8:$J$185,"4",'2026'!$R$8:$R$185,"бесхозяйное")</f>
        <v>0</v>
      </c>
      <c r="DB28" s="46">
        <f t="shared" si="17"/>
        <v>2</v>
      </c>
      <c r="DC28" s="38">
        <f t="shared" si="92"/>
        <v>0</v>
      </c>
      <c r="DD28" s="38">
        <f t="shared" si="92"/>
        <v>0</v>
      </c>
      <c r="DE28" s="39">
        <f t="shared" si="68"/>
        <v>0</v>
      </c>
      <c r="DF28" s="47">
        <f t="shared" si="93"/>
        <v>2</v>
      </c>
      <c r="DG28" s="48">
        <f t="shared" si="93"/>
        <v>12.5</v>
      </c>
      <c r="DH28" s="49">
        <f>AL28+BP28</f>
        <v>0</v>
      </c>
      <c r="DI28" s="47"/>
      <c r="DJ28" s="47"/>
      <c r="DK28" s="50"/>
      <c r="DL28" s="47">
        <f t="shared" si="94"/>
        <v>0</v>
      </c>
      <c r="DM28" s="48">
        <f t="shared" si="94"/>
        <v>0</v>
      </c>
      <c r="DN28" s="49">
        <f t="shared" si="94"/>
        <v>1</v>
      </c>
      <c r="DO28" s="47"/>
      <c r="DP28" s="47"/>
      <c r="DQ28" s="50"/>
      <c r="DR28" s="47">
        <f t="shared" si="95"/>
        <v>1</v>
      </c>
      <c r="DS28" s="48">
        <f t="shared" si="95"/>
        <v>3</v>
      </c>
      <c r="DT28" s="49">
        <f t="shared" si="95"/>
        <v>1</v>
      </c>
      <c r="DU28" s="47"/>
      <c r="DV28" s="47"/>
      <c r="DW28" s="50"/>
      <c r="DX28" s="47">
        <f t="shared" si="96"/>
        <v>1</v>
      </c>
      <c r="DY28" s="48">
        <f t="shared" si="96"/>
        <v>9.5</v>
      </c>
    </row>
    <row r="29" spans="1:129" s="45" customFormat="1" ht="15.75" customHeight="1" x14ac:dyDescent="0.25">
      <c r="A29" s="28" t="s">
        <v>187</v>
      </c>
      <c r="B29" s="29">
        <f t="shared" si="21"/>
        <v>4</v>
      </c>
      <c r="C29" s="30"/>
      <c r="D29" s="30"/>
      <c r="E29" s="31"/>
      <c r="F29" s="29">
        <f t="shared" si="23"/>
        <v>4</v>
      </c>
      <c r="G29" s="32">
        <f t="shared" si="23"/>
        <v>15.200000000000001</v>
      </c>
      <c r="H29" s="33">
        <f t="shared" si="24"/>
        <v>0</v>
      </c>
      <c r="I29" s="34"/>
      <c r="J29" s="34"/>
      <c r="K29" s="35"/>
      <c r="L29" s="29">
        <f t="shared" si="89"/>
        <v>0</v>
      </c>
      <c r="M29" s="32">
        <f t="shared" si="89"/>
        <v>0</v>
      </c>
      <c r="N29" s="33">
        <f t="shared" si="26"/>
        <v>0</v>
      </c>
      <c r="O29" s="63"/>
      <c r="P29" s="63"/>
      <c r="Q29" s="36"/>
      <c r="R29" s="29">
        <f>COUNTIFS('2026'!$J$8:$J$185,"&gt;4",'2026'!$K$8:$K$185,"2029",'2026'!$R$8:$R$185,"республика")</f>
        <v>0</v>
      </c>
      <c r="S29" s="29">
        <f>SUMIFS('2026'!$N$8:$N$185,'2026'!$K$8:$K$185,"2029",'2026'!$J$8:$J$185,"&gt;4",'2026'!$R$8:$R$185,"республика")</f>
        <v>0</v>
      </c>
      <c r="T29" s="29">
        <f t="shared" si="28"/>
        <v>0</v>
      </c>
      <c r="U29" s="63"/>
      <c r="V29" s="63"/>
      <c r="W29" s="36"/>
      <c r="X29" s="29">
        <f>COUNTIFS('2026'!$J$8:$J$185,"&gt;4",'2026'!$K$8:$K$185,"2029",'2026'!$R$8:$R$185,"область")</f>
        <v>0</v>
      </c>
      <c r="Y29" s="29">
        <f>SUMIFS('2026'!$N$8:$N$185,'2026'!$K$8:$K$185,"2029",'2026'!$J$8:$J$185,"&gt;4",'2026'!$R$8:$R$185,"область")</f>
        <v>0</v>
      </c>
      <c r="Z29" s="29">
        <f t="shared" si="30"/>
        <v>0</v>
      </c>
      <c r="AA29" s="63"/>
      <c r="AB29" s="63"/>
      <c r="AC29" s="36"/>
      <c r="AD29" s="29">
        <f>COUNTIFS('2026'!$J$8:$J$185,"&gt;4",'2026'!$K$8:$K$185,"2029",'2026'!$R$8:$R$185,"район")</f>
        <v>0</v>
      </c>
      <c r="AE29" s="32">
        <f>SUMIFS('2026'!$N$8:$N$185,'2026'!$K$8:$K$185,"2029",'2026'!$J$8:$J$185,"&gt;4",'2026'!$R$8:$R$185,"район")</f>
        <v>0</v>
      </c>
      <c r="AF29" s="37">
        <f t="shared" si="32"/>
        <v>4</v>
      </c>
      <c r="AG29" s="38"/>
      <c r="AH29" s="38"/>
      <c r="AI29" s="39"/>
      <c r="AJ29" s="29">
        <f>AP29+AV29+BB29</f>
        <v>4</v>
      </c>
      <c r="AK29" s="32">
        <f t="shared" si="90"/>
        <v>15.200000000000001</v>
      </c>
      <c r="AL29" s="37">
        <f t="shared" si="34"/>
        <v>0</v>
      </c>
      <c r="AM29" s="63"/>
      <c r="AN29" s="63"/>
      <c r="AO29" s="36"/>
      <c r="AP29" s="29">
        <f>COUNTIFS('2026'!$J$8:$J$185,"&gt;4",'2026'!$K$8:$K$185,"2029",'2026'!$R$8:$R$185,"республика50б")</f>
        <v>0</v>
      </c>
      <c r="AQ29" s="29">
        <f>SUMIFS('2026'!$N$8:$N$185,'2026'!$K$8:$K$185,"2029",'2026'!$J$8:$J$185,"&gt;4",'2026'!$R$8:$R$185,"республика50б")</f>
        <v>0</v>
      </c>
      <c r="AR29" s="29">
        <f t="shared" si="36"/>
        <v>3</v>
      </c>
      <c r="AS29" s="63"/>
      <c r="AT29" s="63"/>
      <c r="AU29" s="36"/>
      <c r="AV29" s="29">
        <f>COUNTIFS('2026'!$J$8:$J$185,"&gt;4",'2026'!$K$8:$K$185,"2029",'2026'!$R$8:$R$185,"область50б")</f>
        <v>3</v>
      </c>
      <c r="AW29" s="29">
        <f>SUMIFS('2026'!$N$8:$N$185,'2026'!$K$8:$K$185,"2029",'2026'!$J$8:$J$185,"&gt;4",'2026'!$R$8:$R$185,"область50б")</f>
        <v>13.3</v>
      </c>
      <c r="AX29" s="29">
        <f t="shared" si="38"/>
        <v>1</v>
      </c>
      <c r="AY29" s="63"/>
      <c r="AZ29" s="63"/>
      <c r="BA29" s="36"/>
      <c r="BB29" s="29">
        <f>COUNTIFS('2026'!$J$8:$J$185,"&gt;4",'2026'!$K$8:$K$185,"2029",'2026'!$R$8:$R$185,"район50б")</f>
        <v>1</v>
      </c>
      <c r="BC29" s="32">
        <f>SUMIFS('2026'!$N$8:$N$185,'2026'!$K$8:$K$185,"2029",'2026'!$J$8:$J$185,"&gt;4",'2026'!$R$8:$R$185,"район50б")</f>
        <v>1.9</v>
      </c>
      <c r="BD29" s="37">
        <f t="shared" si="40"/>
        <v>0</v>
      </c>
      <c r="BE29" s="40">
        <f t="shared" si="41"/>
        <v>0</v>
      </c>
      <c r="BF29" s="40">
        <f t="shared" si="41"/>
        <v>0</v>
      </c>
      <c r="BG29" s="41"/>
      <c r="BH29" s="29">
        <f t="shared" si="73"/>
        <v>0</v>
      </c>
      <c r="BI29" s="32">
        <f t="shared" si="66"/>
        <v>0</v>
      </c>
      <c r="BJ29" s="37">
        <f t="shared" si="42"/>
        <v>0</v>
      </c>
      <c r="BK29" s="42"/>
      <c r="BL29" s="42"/>
      <c r="BM29" s="41"/>
      <c r="BN29" s="29">
        <f>BT29+BZ29+CF29</f>
        <v>0</v>
      </c>
      <c r="BO29" s="29">
        <f t="shared" si="91"/>
        <v>0</v>
      </c>
      <c r="BP29" s="29">
        <f t="shared" si="44"/>
        <v>0</v>
      </c>
      <c r="BQ29" s="63"/>
      <c r="BR29" s="63"/>
      <c r="BS29" s="36"/>
      <c r="BT29" s="29">
        <f>COUNTIFS('2026'!$J$8:$J$185,"&gt;4",'2026'!$K$8:$K$185,"2029",'2026'!$R$8:$R$185,"республика50м")</f>
        <v>0</v>
      </c>
      <c r="BU29" s="29">
        <f>SUMIFS('2026'!$N$8:$N$185,'2026'!$K$8:$K$185,"2029",'2026'!$J$8:$J$185,"&gt;4",'2026'!$R$8:$R$185,"республика50м")</f>
        <v>0</v>
      </c>
      <c r="BV29" s="29">
        <f t="shared" si="46"/>
        <v>0</v>
      </c>
      <c r="BW29" s="63"/>
      <c r="BX29" s="63"/>
      <c r="BY29" s="36"/>
      <c r="BZ29" s="29">
        <f>COUNTIFS('2026'!$J$8:$J$185,"&gt;4",'2026'!$K$8:$K$185,"2029",'2026'!$R$8:$R$185,"область50м")</f>
        <v>0</v>
      </c>
      <c r="CA29" s="29">
        <f>SUMIFS('2026'!$N$8:$N$185,'2026'!$K$8:$K$185,"2029",'2026'!$J$8:$J$185,"&gt;4",'2026'!$R$8:$R$185,"область50м")</f>
        <v>0</v>
      </c>
      <c r="CB29" s="29">
        <f t="shared" si="48"/>
        <v>0</v>
      </c>
      <c r="CC29" s="63"/>
      <c r="CD29" s="63"/>
      <c r="CE29" s="36"/>
      <c r="CF29" s="29">
        <f>COUNTIFS('2026'!$J$8:$J$185,"&gt;4",'2026'!$K$8:$K$185,"2029",'2026'!$R$8:$R$185,"район50м")</f>
        <v>0</v>
      </c>
      <c r="CG29" s="29">
        <f>SUMIFS('2026'!$N$8:$N$185,'2026'!$K$8:$K$185,"2029",'2026'!$J$8:$J$185,"&gt;4",'2026'!$R$8:$R$185,"район50м")</f>
        <v>0</v>
      </c>
      <c r="CH29" s="30">
        <f t="shared" si="50"/>
        <v>0</v>
      </c>
      <c r="CI29" s="63"/>
      <c r="CJ29" s="63"/>
      <c r="CK29" s="36"/>
      <c r="CL29" s="29">
        <f>COUNTIFS('2026'!$J$8:$J$185,"&gt;4",'2026'!$K$8:$K$185,"2029",'2026'!$R$8:$R$185,"райпо")</f>
        <v>0</v>
      </c>
      <c r="CM29" s="29">
        <f>SUMIFS('2026'!$N$8:$N$185,'2026'!$K$8:$K$185,"2029",'2026'!$J$8:$J$185,"&gt;4",'2026'!$R$8:$R$185,"райпо")</f>
        <v>0</v>
      </c>
      <c r="CN29" s="43">
        <f t="shared" si="52"/>
        <v>0</v>
      </c>
      <c r="CO29" s="63"/>
      <c r="CP29" s="63"/>
      <c r="CQ29" s="36"/>
      <c r="CR29" s="29">
        <f>COUNTIFS('2026'!$J$8:$J$185,"&gt;4",'2026'!$K$8:$K$185,"2029",'2026'!$R$8:$R$185,"инаяч")</f>
        <v>0</v>
      </c>
      <c r="CS29" s="32">
        <f>SUMIFS('2026'!$N$8:$N$185,'2026'!$K$8:$K$185,"2029",'2026'!$J$8:$J$185,"&gt;4",'2026'!$R$8:$R$185,"инаяч")</f>
        <v>0</v>
      </c>
      <c r="CT29" s="44">
        <f t="shared" si="54"/>
        <v>0</v>
      </c>
      <c r="CU29" s="63"/>
      <c r="CV29" s="63"/>
      <c r="CW29" s="36"/>
      <c r="CX29" s="29">
        <f>COUNTIFS('2026'!$J$8:$J$185,"&gt;4",'2026'!$K$8:$K$185,"2029",'2026'!$R$8:$R$185,"бесхозяйное")</f>
        <v>0</v>
      </c>
      <c r="CY29" s="32">
        <f>SUMIFS('2026'!$N$8:$N$185,'2026'!$K$8:$K$185,"2029",'2026'!$J$8:$J$185,"&gt;4",'2026'!$R$8:$R$185,"бесхозяйное")</f>
        <v>0</v>
      </c>
      <c r="DB29" s="46">
        <f t="shared" si="17"/>
        <v>4</v>
      </c>
      <c r="DC29" s="38">
        <f t="shared" si="92"/>
        <v>0</v>
      </c>
      <c r="DD29" s="38">
        <f t="shared" si="92"/>
        <v>0</v>
      </c>
      <c r="DE29" s="39">
        <f t="shared" si="68"/>
        <v>0</v>
      </c>
      <c r="DF29" s="47">
        <f t="shared" si="93"/>
        <v>4</v>
      </c>
      <c r="DG29" s="48">
        <f t="shared" si="93"/>
        <v>15.200000000000001</v>
      </c>
      <c r="DH29" s="49">
        <f>AL29+BP29</f>
        <v>0</v>
      </c>
      <c r="DI29" s="47"/>
      <c r="DJ29" s="47"/>
      <c r="DK29" s="50"/>
      <c r="DL29" s="47">
        <f t="shared" si="94"/>
        <v>0</v>
      </c>
      <c r="DM29" s="48">
        <f t="shared" si="94"/>
        <v>0</v>
      </c>
      <c r="DN29" s="49">
        <f t="shared" si="94"/>
        <v>3</v>
      </c>
      <c r="DO29" s="47"/>
      <c r="DP29" s="47"/>
      <c r="DQ29" s="50"/>
      <c r="DR29" s="47">
        <f t="shared" si="95"/>
        <v>3</v>
      </c>
      <c r="DS29" s="48">
        <f t="shared" si="95"/>
        <v>13.3</v>
      </c>
      <c r="DT29" s="49">
        <f t="shared" si="95"/>
        <v>1</v>
      </c>
      <c r="DU29" s="47"/>
      <c r="DV29" s="47"/>
      <c r="DW29" s="50"/>
      <c r="DX29" s="47">
        <f t="shared" si="96"/>
        <v>1</v>
      </c>
      <c r="DY29" s="48">
        <f t="shared" si="96"/>
        <v>1.9</v>
      </c>
    </row>
    <row r="30" spans="1:129" s="45" customFormat="1" ht="15.75" x14ac:dyDescent="0.25">
      <c r="A30" s="51" t="s">
        <v>236</v>
      </c>
      <c r="B30" s="42">
        <f t="shared" si="21"/>
        <v>13</v>
      </c>
      <c r="C30" s="30"/>
      <c r="D30" s="30"/>
      <c r="E30" s="31"/>
      <c r="F30" s="42">
        <f t="shared" si="23"/>
        <v>13</v>
      </c>
      <c r="G30" s="52">
        <f t="shared" si="23"/>
        <v>61.599999999999994</v>
      </c>
      <c r="H30" s="53">
        <f t="shared" si="24"/>
        <v>0</v>
      </c>
      <c r="I30" s="34"/>
      <c r="J30" s="34"/>
      <c r="K30" s="35"/>
      <c r="L30" s="42">
        <f t="shared" si="89"/>
        <v>0</v>
      </c>
      <c r="M30" s="52">
        <f t="shared" si="89"/>
        <v>0</v>
      </c>
      <c r="N30" s="53">
        <f t="shared" si="26"/>
        <v>0</v>
      </c>
      <c r="O30" s="54"/>
      <c r="P30" s="54"/>
      <c r="Q30" s="41"/>
      <c r="R30" s="54">
        <f>SUM(R31:R34)</f>
        <v>0</v>
      </c>
      <c r="S30" s="54">
        <f>SUM(S31:S34)</f>
        <v>0</v>
      </c>
      <c r="T30" s="42">
        <f t="shared" si="28"/>
        <v>0</v>
      </c>
      <c r="U30" s="54"/>
      <c r="V30" s="54"/>
      <c r="W30" s="41"/>
      <c r="X30" s="54">
        <f>SUM(X31:X34)</f>
        <v>0</v>
      </c>
      <c r="Y30" s="54">
        <f>SUM(Y31:Y34)</f>
        <v>0</v>
      </c>
      <c r="Z30" s="42">
        <f t="shared" si="30"/>
        <v>0</v>
      </c>
      <c r="AA30" s="54"/>
      <c r="AB30" s="54"/>
      <c r="AC30" s="41"/>
      <c r="AD30" s="54">
        <f>SUM(AD31:AD34)</f>
        <v>0</v>
      </c>
      <c r="AE30" s="55">
        <f>SUM(AE31:AE34)</f>
        <v>0</v>
      </c>
      <c r="AF30" s="56">
        <f t="shared" si="32"/>
        <v>13</v>
      </c>
      <c r="AG30" s="38"/>
      <c r="AH30" s="38"/>
      <c r="AI30" s="39"/>
      <c r="AJ30" s="42">
        <f t="shared" ref="AJ30" si="97">AP30+AV30+BB30</f>
        <v>13</v>
      </c>
      <c r="AK30" s="52">
        <f t="shared" si="90"/>
        <v>61.599999999999994</v>
      </c>
      <c r="AL30" s="56">
        <f t="shared" si="34"/>
        <v>0</v>
      </c>
      <c r="AM30" s="54"/>
      <c r="AN30" s="54"/>
      <c r="AO30" s="41"/>
      <c r="AP30" s="54">
        <f>SUM(AP31:AP34)</f>
        <v>0</v>
      </c>
      <c r="AQ30" s="54">
        <f>SUM(AQ31:AQ34)</f>
        <v>0</v>
      </c>
      <c r="AR30" s="42">
        <f t="shared" si="36"/>
        <v>6</v>
      </c>
      <c r="AS30" s="54"/>
      <c r="AT30" s="54"/>
      <c r="AU30" s="41"/>
      <c r="AV30" s="54">
        <f>SUM(AV31:AV34)</f>
        <v>6</v>
      </c>
      <c r="AW30" s="54">
        <f>SUM(AW31:AW34)</f>
        <v>21.2</v>
      </c>
      <c r="AX30" s="42">
        <f t="shared" si="38"/>
        <v>7</v>
      </c>
      <c r="AY30" s="54"/>
      <c r="AZ30" s="54"/>
      <c r="BA30" s="41"/>
      <c r="BB30" s="54">
        <f>SUM(BB31:BB34)</f>
        <v>7</v>
      </c>
      <c r="BC30" s="55">
        <f>SUM(BC31:BC34)</f>
        <v>40.4</v>
      </c>
      <c r="BD30" s="57">
        <f t="shared" si="40"/>
        <v>0</v>
      </c>
      <c r="BE30" s="58">
        <f t="shared" si="41"/>
        <v>0</v>
      </c>
      <c r="BF30" s="58">
        <f t="shared" si="41"/>
        <v>0</v>
      </c>
      <c r="BG30" s="59">
        <f t="shared" ref="BG30" si="98">IFERROR(BF30/BE30*100,0)</f>
        <v>0</v>
      </c>
      <c r="BH30" s="54">
        <f t="shared" si="73"/>
        <v>0</v>
      </c>
      <c r="BI30" s="55">
        <f t="shared" si="66"/>
        <v>0</v>
      </c>
      <c r="BJ30" s="57">
        <f t="shared" si="42"/>
        <v>0</v>
      </c>
      <c r="BK30" s="54"/>
      <c r="BL30" s="54"/>
      <c r="BM30" s="59"/>
      <c r="BN30" s="54">
        <f t="shared" ref="BN30" si="99">BT30+BZ30+CF30</f>
        <v>0</v>
      </c>
      <c r="BO30" s="54">
        <f t="shared" si="91"/>
        <v>0</v>
      </c>
      <c r="BP30" s="54">
        <f t="shared" si="44"/>
        <v>0</v>
      </c>
      <c r="BQ30" s="54"/>
      <c r="BR30" s="54"/>
      <c r="BS30" s="41"/>
      <c r="BT30" s="54">
        <f>SUM(BT31:BT34)</f>
        <v>0</v>
      </c>
      <c r="BU30" s="54">
        <f>SUM(BU31:BU34)</f>
        <v>0</v>
      </c>
      <c r="BV30" s="54">
        <f t="shared" si="46"/>
        <v>0</v>
      </c>
      <c r="BW30" s="54"/>
      <c r="BX30" s="54"/>
      <c r="BY30" s="41"/>
      <c r="BZ30" s="54">
        <f>SUM(BZ31:BZ34)</f>
        <v>0</v>
      </c>
      <c r="CA30" s="54">
        <f>SUM(CA31:CA34)</f>
        <v>0</v>
      </c>
      <c r="CB30" s="42">
        <f t="shared" si="48"/>
        <v>0</v>
      </c>
      <c r="CC30" s="54"/>
      <c r="CD30" s="54"/>
      <c r="CE30" s="41"/>
      <c r="CF30" s="54">
        <f>SUM(CF31:CF34)</f>
        <v>0</v>
      </c>
      <c r="CG30" s="54">
        <f>SUM(CG31:CG34)</f>
        <v>0</v>
      </c>
      <c r="CH30" s="30">
        <f t="shared" si="50"/>
        <v>0</v>
      </c>
      <c r="CI30" s="54"/>
      <c r="CJ30" s="54"/>
      <c r="CK30" s="41"/>
      <c r="CL30" s="54">
        <f>SUM(CL31:CL34)</f>
        <v>0</v>
      </c>
      <c r="CM30" s="54">
        <f>SUM(CM31:CM34)</f>
        <v>0</v>
      </c>
      <c r="CN30" s="43">
        <f t="shared" si="52"/>
        <v>0</v>
      </c>
      <c r="CO30" s="54"/>
      <c r="CP30" s="54"/>
      <c r="CQ30" s="41"/>
      <c r="CR30" s="54">
        <f>SUM(CR31:CR34)</f>
        <v>0</v>
      </c>
      <c r="CS30" s="55">
        <f>SUM(CS31:CS34)</f>
        <v>0</v>
      </c>
      <c r="CT30" s="44">
        <f t="shared" si="54"/>
        <v>0</v>
      </c>
      <c r="CU30" s="54"/>
      <c r="CV30" s="54"/>
      <c r="CW30" s="41"/>
      <c r="CX30" s="54">
        <f>SUM(CX31:CX34)</f>
        <v>0</v>
      </c>
      <c r="CY30" s="55">
        <f>SUM(CY31:CY34)</f>
        <v>0</v>
      </c>
      <c r="DB30" s="60">
        <f t="shared" si="17"/>
        <v>13</v>
      </c>
      <c r="DC30" s="61">
        <f>SUM(DC31:DC34)</f>
        <v>0</v>
      </c>
      <c r="DD30" s="61">
        <f>SUM(DD31:DD34)</f>
        <v>0</v>
      </c>
      <c r="DE30" s="62">
        <f>IFERROR(DD30/DC30*100,0)</f>
        <v>0</v>
      </c>
      <c r="DF30" s="63">
        <f>SUM(DF31:DF34)</f>
        <v>13</v>
      </c>
      <c r="DG30" s="64">
        <f>SUM(DG31:DG34)</f>
        <v>61.599999999999994</v>
      </c>
      <c r="DH30" s="65">
        <f>DI30+DL30</f>
        <v>0</v>
      </c>
      <c r="DI30" s="63"/>
      <c r="DJ30" s="63"/>
      <c r="DK30" s="66"/>
      <c r="DL30" s="63">
        <f>SUM(DL31:DL34)</f>
        <v>0</v>
      </c>
      <c r="DM30" s="64">
        <f>SUM(DM31:DM34)</f>
        <v>0</v>
      </c>
      <c r="DN30" s="65">
        <f>DO30+DR30</f>
        <v>6</v>
      </c>
      <c r="DO30" s="63"/>
      <c r="DP30" s="63"/>
      <c r="DQ30" s="66"/>
      <c r="DR30" s="63">
        <f>SUM(DR31:DR34)</f>
        <v>6</v>
      </c>
      <c r="DS30" s="64">
        <f>SUM(DS31:DS34)</f>
        <v>21.2</v>
      </c>
      <c r="DT30" s="65">
        <f>DU30+DX30</f>
        <v>7</v>
      </c>
      <c r="DU30" s="63"/>
      <c r="DV30" s="63"/>
      <c r="DW30" s="66"/>
      <c r="DX30" s="63">
        <f>SUM(DX31:DX34)</f>
        <v>7</v>
      </c>
      <c r="DY30" s="64">
        <f>SUM(DY31:DY34)</f>
        <v>40.4</v>
      </c>
    </row>
    <row r="31" spans="1:129" s="45" customFormat="1" ht="15.75" customHeight="1" x14ac:dyDescent="0.25">
      <c r="A31" s="28" t="s">
        <v>188</v>
      </c>
      <c r="B31" s="29">
        <f t="shared" si="21"/>
        <v>1</v>
      </c>
      <c r="C31" s="30"/>
      <c r="D31" s="30"/>
      <c r="E31" s="31"/>
      <c r="F31" s="29">
        <f t="shared" si="23"/>
        <v>1</v>
      </c>
      <c r="G31" s="32">
        <f t="shared" si="23"/>
        <v>3.5</v>
      </c>
      <c r="H31" s="33">
        <f t="shared" si="24"/>
        <v>0</v>
      </c>
      <c r="I31" s="34"/>
      <c r="J31" s="34"/>
      <c r="K31" s="35"/>
      <c r="L31" s="29">
        <f t="shared" si="89"/>
        <v>0</v>
      </c>
      <c r="M31" s="32">
        <f t="shared" si="89"/>
        <v>0</v>
      </c>
      <c r="N31" s="33">
        <f t="shared" si="26"/>
        <v>0</v>
      </c>
      <c r="O31" s="63"/>
      <c r="P31" s="63"/>
      <c r="Q31" s="68"/>
      <c r="R31" s="29">
        <f>COUNTIFS('2026'!$J$8:$J$185,"&lt;3",'2026'!$K$8:$K$185,"&gt;2029",'2026'!$R$8:$R$185,"республика")</f>
        <v>0</v>
      </c>
      <c r="S31" s="29">
        <f>SUMIFS('2026'!$N$8:$N$185,'2026'!$K$8:$K$185,"&gt;2029",'2026'!$J$8:$J$185,"&lt;3",'2026'!$R$8:$R$185,"республика")</f>
        <v>0</v>
      </c>
      <c r="T31" s="29">
        <f t="shared" si="28"/>
        <v>0</v>
      </c>
      <c r="U31" s="63"/>
      <c r="V31" s="63"/>
      <c r="W31" s="68"/>
      <c r="X31" s="29">
        <f>COUNTIFS('2026'!$J$8:$J$185,"&lt;3",'2026'!$K$8:$K$185,"&gt;2029",'2026'!$R$8:$R$185,"область")</f>
        <v>0</v>
      </c>
      <c r="Y31" s="29">
        <f>SUMIFS('2026'!$N$8:$N$185,'2026'!$K$8:$K$185,"&gt;2029",'2026'!$J$8:$J$185,"&lt;3",'2026'!$R$8:$R$185,"область")</f>
        <v>0</v>
      </c>
      <c r="Z31" s="29">
        <f t="shared" si="30"/>
        <v>0</v>
      </c>
      <c r="AA31" s="63"/>
      <c r="AB31" s="63"/>
      <c r="AC31" s="68"/>
      <c r="AD31" s="29">
        <f>COUNTIFS('2026'!$J$8:$J$185,"&lt;3",'2026'!$K$8:$K$185,"&gt;2029",'2026'!$R$8:$R$185,"район")</f>
        <v>0</v>
      </c>
      <c r="AE31" s="32">
        <f>SUMIFS('2026'!$N$8:$N$185,'2026'!$K$8:$K$185,"&gt;2029",'2026'!$J$8:$J$185,"&lt;3",'2026'!$R$8:$R$185,"район")</f>
        <v>0</v>
      </c>
      <c r="AF31" s="37">
        <f t="shared" si="32"/>
        <v>1</v>
      </c>
      <c r="AG31" s="38"/>
      <c r="AH31" s="38"/>
      <c r="AI31" s="39"/>
      <c r="AJ31" s="29">
        <f>AP31+AV31+BB31</f>
        <v>1</v>
      </c>
      <c r="AK31" s="32">
        <f t="shared" si="90"/>
        <v>3.5</v>
      </c>
      <c r="AL31" s="37">
        <f t="shared" si="34"/>
        <v>0</v>
      </c>
      <c r="AM31" s="63"/>
      <c r="AN31" s="63"/>
      <c r="AO31" s="68"/>
      <c r="AP31" s="29">
        <f>COUNTIFS('2026'!$J$8:$J$185,"&lt;3",'2026'!$K$8:$K$185,"&gt;2029",'2026'!$R$8:$R$185,"республика50б")</f>
        <v>0</v>
      </c>
      <c r="AQ31" s="29">
        <f>SUMIFS('2026'!$N$8:$N$185,'2026'!$K$8:$K$185,"&gt;2029",'2026'!$J$8:$J$185,"&lt;3",'2026'!$R$8:$R$185,"республика50б")</f>
        <v>0</v>
      </c>
      <c r="AR31" s="29">
        <f t="shared" si="36"/>
        <v>0</v>
      </c>
      <c r="AS31" s="63"/>
      <c r="AT31" s="63"/>
      <c r="AU31" s="68"/>
      <c r="AV31" s="29">
        <f>COUNTIFS('2026'!$J$8:$J$185,"&lt;3",'2026'!$K$8:$K$185,"&gt;2029",'2026'!$R$8:$R$185,"область50б")</f>
        <v>0</v>
      </c>
      <c r="AW31" s="29">
        <f>SUMIFS('2026'!$N$8:$N$185,'2026'!$K$8:$K$185,"&gt;2029",'2026'!$J$8:$J$185,"&lt;3",'2026'!$R$8:$R$185,"область50б")</f>
        <v>0</v>
      </c>
      <c r="AX31" s="29">
        <f t="shared" si="38"/>
        <v>1</v>
      </c>
      <c r="AY31" s="63"/>
      <c r="AZ31" s="63"/>
      <c r="BA31" s="68"/>
      <c r="BB31" s="29">
        <f>COUNTIFS('2026'!$J$8:$J$185,"&lt;3",'2026'!$K$8:$K$185,"&gt;2029",'2026'!$R$8:$R$185,"район50б")</f>
        <v>1</v>
      </c>
      <c r="BC31" s="32">
        <f>SUMIFS('2026'!$N$8:$N$185,'2026'!$K$8:$K$185,"&gt;2029",'2026'!$J$8:$J$185,"&lt;3",'2026'!$R$8:$R$185,"район50б")</f>
        <v>3.5</v>
      </c>
      <c r="BD31" s="37">
        <f t="shared" si="40"/>
        <v>0</v>
      </c>
      <c r="BE31" s="40">
        <f t="shared" si="41"/>
        <v>0</v>
      </c>
      <c r="BF31" s="40">
        <f t="shared" si="41"/>
        <v>0</v>
      </c>
      <c r="BG31" s="41"/>
      <c r="BH31" s="29">
        <f t="shared" si="73"/>
        <v>0</v>
      </c>
      <c r="BI31" s="32">
        <f t="shared" si="66"/>
        <v>0</v>
      </c>
      <c r="BJ31" s="37">
        <f t="shared" si="42"/>
        <v>0</v>
      </c>
      <c r="BK31" s="42"/>
      <c r="BL31" s="42"/>
      <c r="BM31" s="41"/>
      <c r="BN31" s="29">
        <f>BT31+BZ31+CF31</f>
        <v>0</v>
      </c>
      <c r="BO31" s="29">
        <f t="shared" si="91"/>
        <v>0</v>
      </c>
      <c r="BP31" s="29">
        <f t="shared" si="44"/>
        <v>0</v>
      </c>
      <c r="BQ31" s="63"/>
      <c r="BR31" s="63"/>
      <c r="BS31" s="68"/>
      <c r="BT31" s="29">
        <f>COUNTIFS('2026'!$J$8:$J$185,"&lt;3",'2026'!$K$8:$K$185,"&gt;2029",'2026'!$R$8:$R$185,"республика50м")</f>
        <v>0</v>
      </c>
      <c r="BU31" s="29">
        <f>SUMIFS('2026'!$N$8:$N$185,'2026'!$K$8:$K$185,"&gt;2029",'2026'!$J$8:$J$185,"&lt;3",'2026'!$R$8:$R$185,"республика50м")</f>
        <v>0</v>
      </c>
      <c r="BV31" s="29">
        <f t="shared" si="46"/>
        <v>0</v>
      </c>
      <c r="BW31" s="63"/>
      <c r="BX31" s="63"/>
      <c r="BY31" s="68"/>
      <c r="BZ31" s="29">
        <f>COUNTIFS('2026'!$J$8:$J$185,"&lt;3",'2026'!$K$8:$K$185,"&gt;2029",'2026'!$R$8:$R$185,"область50м")</f>
        <v>0</v>
      </c>
      <c r="CA31" s="29">
        <f>SUMIFS('2026'!$N$8:$N$185,'2026'!$K$8:$K$185,"&gt;2029",'2026'!$J$8:$J$185,"&lt;3",'2026'!$R$8:$R$185,"область50м")</f>
        <v>0</v>
      </c>
      <c r="CB31" s="29">
        <f t="shared" si="48"/>
        <v>0</v>
      </c>
      <c r="CC31" s="63"/>
      <c r="CD31" s="63"/>
      <c r="CE31" s="68"/>
      <c r="CF31" s="29">
        <f>COUNTIFS('2026'!$J$8:$J$185,"&lt;3",'2026'!$K$8:$K$185,"&gt;2029",'2026'!$R$8:$R$185,"район50м")</f>
        <v>0</v>
      </c>
      <c r="CG31" s="29">
        <f>SUMIFS('2026'!$N$8:$N$185,'2026'!$K$8:$K$185,"&gt;2029",'2026'!$J$8:$J$185,"&lt;3",'2026'!$R$8:$R$185,"район50м")</f>
        <v>0</v>
      </c>
      <c r="CH31" s="30">
        <f t="shared" si="50"/>
        <v>0</v>
      </c>
      <c r="CI31" s="63"/>
      <c r="CJ31" s="63"/>
      <c r="CK31" s="68"/>
      <c r="CL31" s="29">
        <f>COUNTIFS('2026'!$J$8:$J$185,"&lt;3",'2026'!$K$8:$K$185,"&gt;2029",'2026'!$R$8:$R$185,"райпо")</f>
        <v>0</v>
      </c>
      <c r="CM31" s="29">
        <f>SUMIFS('2026'!$N$8:$N$185,'2026'!$K$8:$K$185,"&gt;2029",'2026'!$J$8:$J$185,"&lt;3",'2026'!$R$8:$R$185,"райпо")</f>
        <v>0</v>
      </c>
      <c r="CN31" s="43">
        <f t="shared" si="52"/>
        <v>0</v>
      </c>
      <c r="CO31" s="63"/>
      <c r="CP31" s="63"/>
      <c r="CQ31" s="68"/>
      <c r="CR31" s="29">
        <f>COUNTIFS('2026'!$J$8:$J$185,"&lt;3",'2026'!$K$8:$K$185,"&gt;2029",'2026'!$R$8:$R$185,"инаяч")</f>
        <v>0</v>
      </c>
      <c r="CS31" s="32">
        <f>SUMIFS('2026'!$N$8:$N$185,'2026'!$K$8:$K$185,"&gt;2029",'2026'!$J$8:$J$185,"&lt;3",'2026'!$R$8:$R$185,"инаяч")</f>
        <v>0</v>
      </c>
      <c r="CT31" s="44">
        <f t="shared" si="54"/>
        <v>0</v>
      </c>
      <c r="CU31" s="63"/>
      <c r="CV31" s="63"/>
      <c r="CW31" s="68"/>
      <c r="CX31" s="29">
        <f>COUNTIFS('2026'!$J$8:$J$185,"&lt;3",'2026'!$K$8:$K$185,"&gt;2029",'2026'!$R$8:$R$185,"бесхозяйное")</f>
        <v>0</v>
      </c>
      <c r="CY31" s="32">
        <f>SUMIFS('2026'!$N$8:$N$185,'2026'!$K$8:$K$185,"&gt;2029",'2026'!$J$8:$J$185,"&lt;3",'2026'!$R$8:$R$185,"бесхозяйное")</f>
        <v>0</v>
      </c>
      <c r="DB31" s="46">
        <f t="shared" si="17"/>
        <v>1</v>
      </c>
      <c r="DC31" s="38">
        <f t="shared" ref="DC31:DD34" si="100">DI31+DO31+DU31</f>
        <v>0</v>
      </c>
      <c r="DD31" s="38">
        <f t="shared" si="100"/>
        <v>0</v>
      </c>
      <c r="DE31" s="39">
        <f t="shared" ref="DE31:DE34" si="101">IFERROR(DD31/DC31*100,0)</f>
        <v>0</v>
      </c>
      <c r="DF31" s="47">
        <f t="shared" ref="DF31:DG34" si="102">DL31+DR31+DX31</f>
        <v>1</v>
      </c>
      <c r="DG31" s="48">
        <f t="shared" si="102"/>
        <v>3.5</v>
      </c>
      <c r="DH31" s="49">
        <f>AL31+BP31</f>
        <v>0</v>
      </c>
      <c r="DI31" s="47"/>
      <c r="DJ31" s="47"/>
      <c r="DK31" s="50"/>
      <c r="DL31" s="47">
        <f t="shared" ref="DL31:DN34" si="103">AP31+BT31</f>
        <v>0</v>
      </c>
      <c r="DM31" s="48">
        <f t="shared" si="103"/>
        <v>0</v>
      </c>
      <c r="DN31" s="49">
        <f t="shared" si="103"/>
        <v>0</v>
      </c>
      <c r="DO31" s="47"/>
      <c r="DP31" s="47"/>
      <c r="DQ31" s="50"/>
      <c r="DR31" s="47">
        <f t="shared" ref="DR31:DT34" si="104">AV31+BZ31</f>
        <v>0</v>
      </c>
      <c r="DS31" s="48">
        <f t="shared" si="104"/>
        <v>0</v>
      </c>
      <c r="DT31" s="49">
        <f t="shared" si="104"/>
        <v>1</v>
      </c>
      <c r="DU31" s="47"/>
      <c r="DV31" s="47"/>
      <c r="DW31" s="50"/>
      <c r="DX31" s="47">
        <f t="shared" ref="DX31:DY34" si="105">BB31+CF31</f>
        <v>1</v>
      </c>
      <c r="DY31" s="48">
        <f t="shared" si="105"/>
        <v>3.5</v>
      </c>
    </row>
    <row r="32" spans="1:129" s="45" customFormat="1" ht="15.75" customHeight="1" x14ac:dyDescent="0.25">
      <c r="A32" s="28" t="s">
        <v>189</v>
      </c>
      <c r="B32" s="29">
        <f t="shared" si="21"/>
        <v>2</v>
      </c>
      <c r="C32" s="30"/>
      <c r="D32" s="30"/>
      <c r="E32" s="31"/>
      <c r="F32" s="29">
        <f t="shared" si="23"/>
        <v>2</v>
      </c>
      <c r="G32" s="32">
        <f t="shared" si="23"/>
        <v>5.7</v>
      </c>
      <c r="H32" s="33">
        <f t="shared" si="24"/>
        <v>0</v>
      </c>
      <c r="I32" s="34"/>
      <c r="J32" s="34"/>
      <c r="K32" s="35"/>
      <c r="L32" s="29">
        <f t="shared" si="89"/>
        <v>0</v>
      </c>
      <c r="M32" s="32">
        <f t="shared" si="89"/>
        <v>0</v>
      </c>
      <c r="N32" s="33">
        <f t="shared" si="26"/>
        <v>0</v>
      </c>
      <c r="O32" s="63"/>
      <c r="P32" s="63"/>
      <c r="Q32" s="68"/>
      <c r="R32" s="29">
        <f>COUNTIFS('2026'!$J$8:$J$185,"3",'2026'!$K$8:$K$185,"&gt;2029",'2026'!$R$8:$R$185,"республика")</f>
        <v>0</v>
      </c>
      <c r="S32" s="29">
        <f>SUMIFS('2026'!$N$8:$N$185,'2026'!$K$8:$K$185,"&gt;2029",'2026'!$J$8:$J$185,"3",'2026'!$R$8:$R$185,"республика")</f>
        <v>0</v>
      </c>
      <c r="T32" s="29">
        <f t="shared" si="28"/>
        <v>0</v>
      </c>
      <c r="U32" s="63"/>
      <c r="V32" s="63"/>
      <c r="W32" s="68"/>
      <c r="X32" s="29">
        <f>COUNTIFS('2026'!$J$8:$J$185,"3",'2026'!$K$8:$K$185,"&gt;2029",'2026'!$R$8:$R$185,"область")</f>
        <v>0</v>
      </c>
      <c r="Y32" s="29">
        <f>SUMIFS('2026'!$N$8:$N$185,'2026'!$K$8:$K$185,"&gt;2029",'2026'!$J$8:$J$185,"3",'2026'!$R$8:$R$185,"область")</f>
        <v>0</v>
      </c>
      <c r="Z32" s="29">
        <f t="shared" si="30"/>
        <v>0</v>
      </c>
      <c r="AA32" s="63"/>
      <c r="AB32" s="63"/>
      <c r="AC32" s="68"/>
      <c r="AD32" s="29">
        <f>COUNTIFS('2026'!$J$8:$J$185,"3",'2026'!$K$8:$K$185,"&gt;2029",'2026'!$R$8:$R$185,"район")</f>
        <v>0</v>
      </c>
      <c r="AE32" s="32">
        <f>SUMIFS('2026'!$N$8:$N$185,'2026'!$K$8:$K$185,"&gt;2029",'2026'!$J$8:$J$185,"3",'2026'!$R$8:$R$185,"район")</f>
        <v>0</v>
      </c>
      <c r="AF32" s="37">
        <f t="shared" si="32"/>
        <v>2</v>
      </c>
      <c r="AG32" s="38"/>
      <c r="AH32" s="38"/>
      <c r="AI32" s="39"/>
      <c r="AJ32" s="29">
        <f>AP32+AV32+BB32</f>
        <v>2</v>
      </c>
      <c r="AK32" s="32">
        <f t="shared" si="90"/>
        <v>5.7</v>
      </c>
      <c r="AL32" s="37">
        <f t="shared" si="34"/>
        <v>0</v>
      </c>
      <c r="AM32" s="63"/>
      <c r="AN32" s="63"/>
      <c r="AO32" s="68"/>
      <c r="AP32" s="29">
        <f>COUNTIFS('2026'!$J$8:$J$185,"3",'2026'!$K$8:$K$185,"&gt;2029",'2026'!$R$8:$R$185,"республика50б")</f>
        <v>0</v>
      </c>
      <c r="AQ32" s="29">
        <f>SUMIFS('2026'!$N$8:$N$185,'2026'!$K$8:$K$185,"&gt;2029",'2026'!$J$8:$J$185,"3",'2026'!$R$8:$R$185,"республика50б")</f>
        <v>0</v>
      </c>
      <c r="AR32" s="29">
        <f t="shared" si="36"/>
        <v>0</v>
      </c>
      <c r="AS32" s="63"/>
      <c r="AT32" s="63"/>
      <c r="AU32" s="68"/>
      <c r="AV32" s="29">
        <f>COUNTIFS('2026'!$J$8:$J$185,"3",'2026'!$K$8:$K$185,"&gt;2029",'2026'!$R$8:$R$185,"область50б")</f>
        <v>0</v>
      </c>
      <c r="AW32" s="29">
        <f>SUMIFS('2026'!$N$8:$N$185,'2026'!$K$8:$K$185,"&gt;2029",'2026'!$J$8:$J$185,"3",'2026'!$R$8:$R$185,"область50б")</f>
        <v>0</v>
      </c>
      <c r="AX32" s="29">
        <f t="shared" si="38"/>
        <v>2</v>
      </c>
      <c r="AY32" s="63"/>
      <c r="AZ32" s="63"/>
      <c r="BA32" s="68"/>
      <c r="BB32" s="29">
        <f>COUNTIFS('2026'!$J$8:$J$185,"3",'2026'!$K$8:$K$185,"&gt;2029",'2026'!$R$8:$R$185,"район50б")</f>
        <v>2</v>
      </c>
      <c r="BC32" s="32">
        <f>SUMIFS('2026'!$N$8:$N$185,'2026'!$K$8:$K$185,"&gt;2029",'2026'!$J$8:$J$185,"3",'2026'!$R$8:$R$185,"район50б")</f>
        <v>5.7</v>
      </c>
      <c r="BD32" s="37">
        <f t="shared" si="40"/>
        <v>0</v>
      </c>
      <c r="BE32" s="40">
        <f t="shared" si="41"/>
        <v>0</v>
      </c>
      <c r="BF32" s="40">
        <f t="shared" si="41"/>
        <v>0</v>
      </c>
      <c r="BG32" s="41"/>
      <c r="BH32" s="29">
        <f t="shared" si="73"/>
        <v>0</v>
      </c>
      <c r="BI32" s="32">
        <f t="shared" si="66"/>
        <v>0</v>
      </c>
      <c r="BJ32" s="37">
        <f t="shared" si="42"/>
        <v>0</v>
      </c>
      <c r="BK32" s="42"/>
      <c r="BL32" s="42"/>
      <c r="BM32" s="41"/>
      <c r="BN32" s="29">
        <f>BT32+BZ32+CF32</f>
        <v>0</v>
      </c>
      <c r="BO32" s="29">
        <f t="shared" si="91"/>
        <v>0</v>
      </c>
      <c r="BP32" s="29">
        <f t="shared" si="44"/>
        <v>0</v>
      </c>
      <c r="BQ32" s="63"/>
      <c r="BR32" s="63"/>
      <c r="BS32" s="68"/>
      <c r="BT32" s="29">
        <f>COUNTIFS('2026'!$J$8:$J$185,"3",'2026'!$K$8:$K$185,"&gt;2029",'2026'!$R$8:$R$185,"республика50м")</f>
        <v>0</v>
      </c>
      <c r="BU32" s="29">
        <f>SUMIFS('2026'!$N$8:$N$185,'2026'!$K$8:$K$185,"&gt;2029",'2026'!$J$8:$J$185,"3",'2026'!$R$8:$R$185,"республика50м")</f>
        <v>0</v>
      </c>
      <c r="BV32" s="29">
        <f t="shared" si="46"/>
        <v>0</v>
      </c>
      <c r="BW32" s="63"/>
      <c r="BX32" s="63"/>
      <c r="BY32" s="68"/>
      <c r="BZ32" s="29">
        <f>COUNTIFS('2026'!$J$8:$J$185,"3",'2026'!$K$8:$K$185,"&gt;2029",'2026'!$R$8:$R$185,"область50м")</f>
        <v>0</v>
      </c>
      <c r="CA32" s="29">
        <f>SUMIFS('2026'!$N$8:$N$185,'2026'!$K$8:$K$185,"&gt;2029",'2026'!$J$8:$J$185,"3",'2026'!$R$8:$R$185,"область50м")</f>
        <v>0</v>
      </c>
      <c r="CB32" s="29">
        <f t="shared" si="48"/>
        <v>0</v>
      </c>
      <c r="CC32" s="63"/>
      <c r="CD32" s="63"/>
      <c r="CE32" s="68"/>
      <c r="CF32" s="29">
        <f>COUNTIFS('2026'!$J$8:$J$185,"3",'2026'!$K$8:$K$185,"&gt;2029",'2026'!$R$8:$R$185,"район50м")</f>
        <v>0</v>
      </c>
      <c r="CG32" s="29">
        <f>SUMIFS('2026'!$N$8:$N$185,'2026'!$K$8:$K$185,"&gt;2029",'2026'!$J$8:$J$185,"3",'2026'!$R$8:$R$185,"район50м")</f>
        <v>0</v>
      </c>
      <c r="CH32" s="30">
        <f t="shared" si="50"/>
        <v>0</v>
      </c>
      <c r="CI32" s="63"/>
      <c r="CJ32" s="63"/>
      <c r="CK32" s="68"/>
      <c r="CL32" s="29">
        <f>COUNTIFS('2026'!$J$8:$J$185,"3",'2026'!$K$8:$K$185,"&gt;2029",'2026'!$R$8:$R$185,"райпо")</f>
        <v>0</v>
      </c>
      <c r="CM32" s="29">
        <f>SUMIFS('2026'!$N$8:$N$185,'2026'!$K$8:$K$185,"&gt;2029",'2026'!$J$8:$J$185,"3",'2026'!$R$8:$R$185,"райпо")</f>
        <v>0</v>
      </c>
      <c r="CN32" s="43">
        <f t="shared" si="52"/>
        <v>0</v>
      </c>
      <c r="CO32" s="63"/>
      <c r="CP32" s="63"/>
      <c r="CQ32" s="68"/>
      <c r="CR32" s="29">
        <f>COUNTIFS('2026'!$J$8:$J$185,"3",'2026'!$K$8:$K$185,"&gt;2029",'2026'!$R$8:$R$185,"инаяч")</f>
        <v>0</v>
      </c>
      <c r="CS32" s="32">
        <f>SUMIFS('2026'!$N$8:$N$185,'2026'!$K$8:$K$185,"&gt;2029",'2026'!$J$8:$J$185,"3",'2026'!$R$8:$R$185,"инаяч")</f>
        <v>0</v>
      </c>
      <c r="CT32" s="44">
        <f t="shared" si="54"/>
        <v>0</v>
      </c>
      <c r="CU32" s="63"/>
      <c r="CV32" s="63"/>
      <c r="CW32" s="68"/>
      <c r="CX32" s="29">
        <f>COUNTIFS('2026'!$J$8:$J$185,"3",'2026'!$K$8:$K$185,"&gt;2029",'2026'!$R$8:$R$185,"бесхозяйное")</f>
        <v>0</v>
      </c>
      <c r="CY32" s="32">
        <f>SUMIFS('2026'!$N$8:$N$185,'2026'!$K$8:$K$185,"&gt;2029",'2026'!$J$8:$J$185,"3",'2026'!$R$8:$R$185,"бесхозяйное")</f>
        <v>0</v>
      </c>
      <c r="DB32" s="46">
        <f t="shared" si="17"/>
        <v>2</v>
      </c>
      <c r="DC32" s="38">
        <f t="shared" si="100"/>
        <v>0</v>
      </c>
      <c r="DD32" s="38">
        <f t="shared" si="100"/>
        <v>0</v>
      </c>
      <c r="DE32" s="39">
        <f t="shared" si="101"/>
        <v>0</v>
      </c>
      <c r="DF32" s="47">
        <f t="shared" si="102"/>
        <v>2</v>
      </c>
      <c r="DG32" s="48">
        <f t="shared" si="102"/>
        <v>5.7</v>
      </c>
      <c r="DH32" s="49">
        <f>AL32+BP32</f>
        <v>0</v>
      </c>
      <c r="DI32" s="47"/>
      <c r="DJ32" s="47"/>
      <c r="DK32" s="50"/>
      <c r="DL32" s="47">
        <f t="shared" si="103"/>
        <v>0</v>
      </c>
      <c r="DM32" s="48">
        <f t="shared" si="103"/>
        <v>0</v>
      </c>
      <c r="DN32" s="49">
        <f t="shared" si="103"/>
        <v>0</v>
      </c>
      <c r="DO32" s="47"/>
      <c r="DP32" s="47"/>
      <c r="DQ32" s="50"/>
      <c r="DR32" s="47">
        <f t="shared" si="104"/>
        <v>0</v>
      </c>
      <c r="DS32" s="48">
        <f t="shared" si="104"/>
        <v>0</v>
      </c>
      <c r="DT32" s="49">
        <f t="shared" si="104"/>
        <v>2</v>
      </c>
      <c r="DU32" s="47"/>
      <c r="DV32" s="47"/>
      <c r="DW32" s="50"/>
      <c r="DX32" s="47">
        <f t="shared" si="105"/>
        <v>2</v>
      </c>
      <c r="DY32" s="48">
        <f t="shared" si="105"/>
        <v>5.7</v>
      </c>
    </row>
    <row r="33" spans="1:129" s="45" customFormat="1" ht="15.75" customHeight="1" x14ac:dyDescent="0.25">
      <c r="A33" s="28" t="s">
        <v>190</v>
      </c>
      <c r="B33" s="29">
        <f t="shared" si="21"/>
        <v>4</v>
      </c>
      <c r="C33" s="30"/>
      <c r="D33" s="30"/>
      <c r="E33" s="31"/>
      <c r="F33" s="29">
        <f t="shared" si="23"/>
        <v>4</v>
      </c>
      <c r="G33" s="32">
        <f t="shared" si="23"/>
        <v>26.7</v>
      </c>
      <c r="H33" s="33">
        <f t="shared" si="24"/>
        <v>0</v>
      </c>
      <c r="I33" s="34"/>
      <c r="J33" s="34"/>
      <c r="K33" s="35"/>
      <c r="L33" s="29">
        <f t="shared" si="89"/>
        <v>0</v>
      </c>
      <c r="M33" s="32">
        <f t="shared" si="89"/>
        <v>0</v>
      </c>
      <c r="N33" s="33">
        <f t="shared" si="26"/>
        <v>0</v>
      </c>
      <c r="O33" s="63"/>
      <c r="P33" s="63"/>
      <c r="Q33" s="68"/>
      <c r="R33" s="29">
        <f>COUNTIFS('2026'!$J$8:$J$185,"4",'2026'!$K$8:$K$185,"&gt;2029",'2026'!$R$8:$R$185,"республика")</f>
        <v>0</v>
      </c>
      <c r="S33" s="29">
        <f>SUMIFS('2026'!$N$8:$N$185,'2026'!$K$8:$K$185,"&gt;2029",'2026'!$J$8:$J$185,"4",'2026'!$R$8:$R$185,"республика")</f>
        <v>0</v>
      </c>
      <c r="T33" s="29">
        <f t="shared" si="28"/>
        <v>0</v>
      </c>
      <c r="U33" s="63"/>
      <c r="V33" s="63"/>
      <c r="W33" s="68"/>
      <c r="X33" s="29">
        <f>COUNTIFS('2026'!$J$8:$J$185,"4",'2026'!$K$8:$K$185,"&gt;2029",'2026'!$R$8:$R$185,"область")</f>
        <v>0</v>
      </c>
      <c r="Y33" s="29">
        <f>SUMIFS('2026'!$N$8:$N$185,'2026'!$K$8:$K$185,"&gt;2029",'2026'!$J$8:$J$185,"4",'2026'!$R$8:$R$185,"область")</f>
        <v>0</v>
      </c>
      <c r="Z33" s="29">
        <f t="shared" si="30"/>
        <v>0</v>
      </c>
      <c r="AA33" s="63"/>
      <c r="AB33" s="63"/>
      <c r="AC33" s="68"/>
      <c r="AD33" s="29">
        <f>COUNTIFS('2026'!$J$8:$J$185,"4",'2026'!$K$8:$K$185,"&gt;2029",'2026'!$R$8:$R$185,"район")</f>
        <v>0</v>
      </c>
      <c r="AE33" s="32">
        <f>SUMIFS('2026'!$N$8:$N$185,'2026'!$K$8:$K$185,"&gt;2029",'2026'!$J$8:$J$185,"4",'2026'!$R$8:$R$185,"район")</f>
        <v>0</v>
      </c>
      <c r="AF33" s="37">
        <f t="shared" si="32"/>
        <v>4</v>
      </c>
      <c r="AG33" s="38"/>
      <c r="AH33" s="38"/>
      <c r="AI33" s="39"/>
      <c r="AJ33" s="29">
        <f>AP33+AV33+BB33</f>
        <v>4</v>
      </c>
      <c r="AK33" s="32">
        <f t="shared" si="90"/>
        <v>26.7</v>
      </c>
      <c r="AL33" s="37">
        <f t="shared" si="34"/>
        <v>0</v>
      </c>
      <c r="AM33" s="63"/>
      <c r="AN33" s="63"/>
      <c r="AO33" s="68"/>
      <c r="AP33" s="29">
        <f>COUNTIFS('2026'!$J$8:$J$185,"4",'2026'!$K$8:$K$185,"&gt;2029",'2026'!$R$8:$R$185,"республика50б")</f>
        <v>0</v>
      </c>
      <c r="AQ33" s="29">
        <f>SUMIFS('2026'!$N$8:$N$185,'2026'!$K$8:$K$185,"&gt;2029",'2026'!$J$8:$J$185,"4",'2026'!$R$8:$R$185,"республика50б")</f>
        <v>0</v>
      </c>
      <c r="AR33" s="29">
        <f t="shared" si="36"/>
        <v>1</v>
      </c>
      <c r="AS33" s="63"/>
      <c r="AT33" s="63"/>
      <c r="AU33" s="68"/>
      <c r="AV33" s="29">
        <f>COUNTIFS('2026'!$J$8:$J$185,"4",'2026'!$K$8:$K$185,"&gt;2029",'2026'!$R$8:$R$185,"область50б")</f>
        <v>1</v>
      </c>
      <c r="AW33" s="29">
        <f>SUMIFS('2026'!$N$8:$N$185,'2026'!$K$8:$K$185,"&gt;2029",'2026'!$J$8:$J$185,"4",'2026'!$R$8:$R$185,"область50б")</f>
        <v>5.5</v>
      </c>
      <c r="AX33" s="29">
        <f t="shared" si="38"/>
        <v>3</v>
      </c>
      <c r="AY33" s="63"/>
      <c r="AZ33" s="63"/>
      <c r="BA33" s="68"/>
      <c r="BB33" s="29">
        <f>COUNTIFS('2026'!$J$8:$J$185,"4",'2026'!$K$8:$K$185,"&gt;2029",'2026'!$R$8:$R$185,"район50б")</f>
        <v>3</v>
      </c>
      <c r="BC33" s="32">
        <f>SUMIFS('2026'!$N$8:$N$185,'2026'!$K$8:$K$185,"&gt;2029",'2026'!$J$8:$J$185,"4",'2026'!$R$8:$R$185,"район50б")</f>
        <v>21.2</v>
      </c>
      <c r="BD33" s="37">
        <f t="shared" si="40"/>
        <v>0</v>
      </c>
      <c r="BE33" s="40">
        <f t="shared" si="41"/>
        <v>0</v>
      </c>
      <c r="BF33" s="40">
        <f t="shared" si="41"/>
        <v>0</v>
      </c>
      <c r="BG33" s="41"/>
      <c r="BH33" s="29">
        <f t="shared" si="73"/>
        <v>0</v>
      </c>
      <c r="BI33" s="32">
        <f t="shared" si="66"/>
        <v>0</v>
      </c>
      <c r="BJ33" s="37">
        <f t="shared" si="42"/>
        <v>0</v>
      </c>
      <c r="BK33" s="42"/>
      <c r="BL33" s="42"/>
      <c r="BM33" s="41"/>
      <c r="BN33" s="29">
        <f>BT33+BZ33+CF33</f>
        <v>0</v>
      </c>
      <c r="BO33" s="29">
        <f t="shared" si="91"/>
        <v>0</v>
      </c>
      <c r="BP33" s="29">
        <f t="shared" si="44"/>
        <v>0</v>
      </c>
      <c r="BQ33" s="63"/>
      <c r="BR33" s="63"/>
      <c r="BS33" s="68"/>
      <c r="BT33" s="29">
        <f>COUNTIFS('2026'!$J$8:$J$185,"4",'2026'!$K$8:$K$185,"&gt;2029",'2026'!$R$8:$R$185,"республика50м")</f>
        <v>0</v>
      </c>
      <c r="BU33" s="29">
        <f>SUMIFS('2026'!$N$8:$N$185,'2026'!$K$8:$K$185,"&gt;2029",'2026'!$J$8:$J$185,"4",'2026'!$R$8:$R$185,"республика50м")</f>
        <v>0</v>
      </c>
      <c r="BV33" s="29">
        <f t="shared" si="46"/>
        <v>0</v>
      </c>
      <c r="BW33" s="63"/>
      <c r="BX33" s="63"/>
      <c r="BY33" s="68"/>
      <c r="BZ33" s="29">
        <f>COUNTIFS('2026'!$J$8:$J$185,"4",'2026'!$K$8:$K$185,"&gt;2029",'2026'!$R$8:$R$185,"область50м")</f>
        <v>0</v>
      </c>
      <c r="CA33" s="29">
        <f>SUMIFS('2026'!$N$8:$N$185,'2026'!$K$8:$K$185,"&gt;2029",'2026'!$J$8:$J$185,"4",'2026'!$R$8:$R$185,"область50м")</f>
        <v>0</v>
      </c>
      <c r="CB33" s="29">
        <f t="shared" si="48"/>
        <v>0</v>
      </c>
      <c r="CC33" s="63"/>
      <c r="CD33" s="63"/>
      <c r="CE33" s="68"/>
      <c r="CF33" s="29">
        <f>COUNTIFS('2026'!$J$8:$J$185,"4",'2026'!$K$8:$K$185,"&gt;2029",'2026'!$R$8:$R$185,"район50м")</f>
        <v>0</v>
      </c>
      <c r="CG33" s="29">
        <f>SUMIFS('2026'!$N$8:$N$185,'2026'!$K$8:$K$185,"&gt;2029",'2026'!$J$8:$J$185,"4",'2026'!$R$8:$R$185,"район50м")</f>
        <v>0</v>
      </c>
      <c r="CH33" s="30">
        <f t="shared" si="50"/>
        <v>0</v>
      </c>
      <c r="CI33" s="63"/>
      <c r="CJ33" s="63"/>
      <c r="CK33" s="68"/>
      <c r="CL33" s="29">
        <f>COUNTIFS('2026'!$J$8:$J$185,"4",'2026'!$K$8:$K$185,"&gt;2029",'2026'!$R$8:$R$185,"райпо")</f>
        <v>0</v>
      </c>
      <c r="CM33" s="29">
        <f>SUMIFS('2026'!$N$8:$N$185,'2026'!$K$8:$K$185,"&gt;2029",'2026'!$J$8:$J$185,"4",'2026'!$R$8:$R$185,"райпо")</f>
        <v>0</v>
      </c>
      <c r="CN33" s="43">
        <f t="shared" si="52"/>
        <v>0</v>
      </c>
      <c r="CO33" s="63"/>
      <c r="CP33" s="63"/>
      <c r="CQ33" s="68"/>
      <c r="CR33" s="29">
        <f>COUNTIFS('2026'!$J$8:$J$185,"4",'2026'!$K$8:$K$185,"&gt;2029",'2026'!$R$8:$R$185,"инаяч")</f>
        <v>0</v>
      </c>
      <c r="CS33" s="32">
        <f>SUMIFS('2026'!$N$8:$N$185,'2026'!$K$8:$K$185,"&gt;2029",'2026'!$J$8:$J$185,"4",'2026'!$R$8:$R$185,"инаяч")</f>
        <v>0</v>
      </c>
      <c r="CT33" s="44">
        <f t="shared" si="54"/>
        <v>0</v>
      </c>
      <c r="CU33" s="63"/>
      <c r="CV33" s="63"/>
      <c r="CW33" s="68"/>
      <c r="CX33" s="29">
        <f>COUNTIFS('2026'!$J$8:$J$185,"4",'2026'!$K$8:$K$185,"&gt;2029",'2026'!$R$8:$R$185,"бесхозяйное")</f>
        <v>0</v>
      </c>
      <c r="CY33" s="32">
        <f>SUMIFS('2026'!$N$8:$N$185,'2026'!$K$8:$K$185,"&gt;2029",'2026'!$J$8:$J$185,"4",'2026'!$R$8:$R$185,"бесхозяйное")</f>
        <v>0</v>
      </c>
      <c r="DB33" s="46">
        <f t="shared" si="17"/>
        <v>4</v>
      </c>
      <c r="DC33" s="38">
        <f t="shared" si="100"/>
        <v>0</v>
      </c>
      <c r="DD33" s="38">
        <f t="shared" si="100"/>
        <v>0</v>
      </c>
      <c r="DE33" s="39">
        <f t="shared" si="101"/>
        <v>0</v>
      </c>
      <c r="DF33" s="47">
        <f t="shared" si="102"/>
        <v>4</v>
      </c>
      <c r="DG33" s="48">
        <f t="shared" si="102"/>
        <v>26.7</v>
      </c>
      <c r="DH33" s="49">
        <f>AL33+BP33</f>
        <v>0</v>
      </c>
      <c r="DI33" s="47"/>
      <c r="DJ33" s="47"/>
      <c r="DK33" s="50"/>
      <c r="DL33" s="47">
        <f t="shared" si="103"/>
        <v>0</v>
      </c>
      <c r="DM33" s="48">
        <f t="shared" si="103"/>
        <v>0</v>
      </c>
      <c r="DN33" s="49">
        <f t="shared" si="103"/>
        <v>1</v>
      </c>
      <c r="DO33" s="47"/>
      <c r="DP33" s="47"/>
      <c r="DQ33" s="50"/>
      <c r="DR33" s="47">
        <f t="shared" si="104"/>
        <v>1</v>
      </c>
      <c r="DS33" s="48">
        <f t="shared" si="104"/>
        <v>5.5</v>
      </c>
      <c r="DT33" s="49">
        <f t="shared" si="104"/>
        <v>3</v>
      </c>
      <c r="DU33" s="47"/>
      <c r="DV33" s="47"/>
      <c r="DW33" s="50"/>
      <c r="DX33" s="47">
        <f t="shared" si="105"/>
        <v>3</v>
      </c>
      <c r="DY33" s="48">
        <f t="shared" si="105"/>
        <v>21.2</v>
      </c>
    </row>
    <row r="34" spans="1:129" s="45" customFormat="1" ht="15.75" customHeight="1" thickBot="1" x14ac:dyDescent="0.3">
      <c r="A34" s="69" t="s">
        <v>191</v>
      </c>
      <c r="B34" s="70">
        <f t="shared" si="21"/>
        <v>6</v>
      </c>
      <c r="C34" s="71"/>
      <c r="D34" s="71"/>
      <c r="E34" s="72"/>
      <c r="F34" s="70">
        <f t="shared" si="23"/>
        <v>6</v>
      </c>
      <c r="G34" s="73">
        <f t="shared" si="23"/>
        <v>25.7</v>
      </c>
      <c r="H34" s="74">
        <f t="shared" si="24"/>
        <v>0</v>
      </c>
      <c r="I34" s="75"/>
      <c r="J34" s="75"/>
      <c r="K34" s="76"/>
      <c r="L34" s="70">
        <f t="shared" si="89"/>
        <v>0</v>
      </c>
      <c r="M34" s="73">
        <f t="shared" si="89"/>
        <v>0</v>
      </c>
      <c r="N34" s="74">
        <f t="shared" si="26"/>
        <v>0</v>
      </c>
      <c r="O34" s="77"/>
      <c r="P34" s="77"/>
      <c r="Q34" s="78"/>
      <c r="R34" s="70">
        <f>COUNTIFS('2026'!$J$8:$J$185,"&gt;4",'2026'!$K$8:$K$185,"&gt;2029",'2026'!$R$8:$R$185,"республика")</f>
        <v>0</v>
      </c>
      <c r="S34" s="70">
        <f>SUMIFS('2026'!$N$8:$N$185,'2026'!$K$8:$K$185,"&gt;2029",'2026'!$J$8:$J$185,"&gt;4",'2026'!$R$8:$R$185,"республика")</f>
        <v>0</v>
      </c>
      <c r="T34" s="70">
        <f t="shared" si="28"/>
        <v>0</v>
      </c>
      <c r="U34" s="77"/>
      <c r="V34" s="77"/>
      <c r="W34" s="78"/>
      <c r="X34" s="70">
        <f>COUNTIFS('2026'!$J$8:$J$185,"&gt;4",'2026'!$K$8:$K$185,"&gt;2029",'2026'!$R$8:$R$185,"область")</f>
        <v>0</v>
      </c>
      <c r="Y34" s="70">
        <f>SUMIFS('2026'!$N$8:$N$185,'2026'!$K$8:$K$185,"&gt;2029",'2026'!$J$8:$J$185,"&gt;4",'2026'!$R$8:$R$185,"область")</f>
        <v>0</v>
      </c>
      <c r="Z34" s="70">
        <f t="shared" si="30"/>
        <v>0</v>
      </c>
      <c r="AA34" s="77"/>
      <c r="AB34" s="77"/>
      <c r="AC34" s="78"/>
      <c r="AD34" s="70">
        <f>COUNTIFS('2026'!$J$8:$J$185,"&gt;4",'2026'!$K$8:$K$185,"&gt;2029",'2026'!$R$8:$R$185,"район")</f>
        <v>0</v>
      </c>
      <c r="AE34" s="73">
        <f>SUMIFS('2026'!$N$8:$N$185,'2026'!$K$8:$K$185,"&gt;2029",'2026'!$J$8:$J$185,"&gt;4",'2026'!$R$8:$R$185,"район")</f>
        <v>0</v>
      </c>
      <c r="AF34" s="79">
        <f t="shared" si="32"/>
        <v>6</v>
      </c>
      <c r="AG34" s="80"/>
      <c r="AH34" s="80"/>
      <c r="AI34" s="81"/>
      <c r="AJ34" s="70">
        <f>AP34+AV34+BB34</f>
        <v>6</v>
      </c>
      <c r="AK34" s="73">
        <f t="shared" si="90"/>
        <v>25.7</v>
      </c>
      <c r="AL34" s="79">
        <f t="shared" si="34"/>
        <v>0</v>
      </c>
      <c r="AM34" s="77"/>
      <c r="AN34" s="77"/>
      <c r="AO34" s="78"/>
      <c r="AP34" s="70">
        <f>COUNTIFS('2026'!$J$8:$J$185,"&gt;4",'2026'!$K$8:$K$185,"&gt;2029",'2026'!$R$8:$R$185,"республика50б")</f>
        <v>0</v>
      </c>
      <c r="AQ34" s="70">
        <f>SUMIFS('2026'!$N$8:$N$185,'2026'!$K$8:$K$185,"&gt;2029",'2026'!$J$8:$J$185,"&gt;4",'2026'!$R$8:$R$185,"республика50б")</f>
        <v>0</v>
      </c>
      <c r="AR34" s="70">
        <f t="shared" si="36"/>
        <v>5</v>
      </c>
      <c r="AS34" s="77"/>
      <c r="AT34" s="77"/>
      <c r="AU34" s="78"/>
      <c r="AV34" s="70">
        <f>COUNTIFS('2026'!$J$8:$J$185,"&gt;4",'2026'!$K$8:$K$185,"&gt;2029",'2026'!$R$8:$R$185,"область50б")</f>
        <v>5</v>
      </c>
      <c r="AW34" s="70">
        <f>SUMIFS('2026'!$N$8:$N$185,'2026'!$K$8:$K$185,"&gt;2029",'2026'!$J$8:$J$185,"&gt;4",'2026'!$R$8:$R$185,"область50б")</f>
        <v>15.7</v>
      </c>
      <c r="AX34" s="70">
        <f t="shared" si="38"/>
        <v>1</v>
      </c>
      <c r="AY34" s="77"/>
      <c r="AZ34" s="77"/>
      <c r="BA34" s="78"/>
      <c r="BB34" s="70">
        <f>COUNTIFS('2026'!$J$8:$J$185,"&gt;4",'2026'!$K$8:$K$185,"&gt;2029",'2026'!$R$8:$R$185,"район50б")</f>
        <v>1</v>
      </c>
      <c r="BC34" s="73">
        <f>SUMIFS('2026'!$N$8:$N$185,'2026'!$K$8:$K$185,"&gt;2029",'2026'!$J$8:$J$185,"&gt;4",'2026'!$R$8:$R$185,"район50б")</f>
        <v>10</v>
      </c>
      <c r="BD34" s="79">
        <f t="shared" si="40"/>
        <v>0</v>
      </c>
      <c r="BE34" s="82">
        <f t="shared" si="41"/>
        <v>0</v>
      </c>
      <c r="BF34" s="82">
        <f t="shared" si="41"/>
        <v>0</v>
      </c>
      <c r="BG34" s="83"/>
      <c r="BH34" s="70">
        <f t="shared" si="73"/>
        <v>0</v>
      </c>
      <c r="BI34" s="73">
        <f t="shared" si="66"/>
        <v>0</v>
      </c>
      <c r="BJ34" s="79">
        <f t="shared" si="42"/>
        <v>0</v>
      </c>
      <c r="BK34" s="84"/>
      <c r="BL34" s="84"/>
      <c r="BM34" s="83"/>
      <c r="BN34" s="70">
        <f>BT34+BZ34+CF34</f>
        <v>0</v>
      </c>
      <c r="BO34" s="70">
        <f t="shared" si="91"/>
        <v>0</v>
      </c>
      <c r="BP34" s="70">
        <f t="shared" si="44"/>
        <v>0</v>
      </c>
      <c r="BQ34" s="77"/>
      <c r="BR34" s="77"/>
      <c r="BS34" s="78"/>
      <c r="BT34" s="70">
        <f>COUNTIFS('2026'!$J$8:$J$185,"&gt;4",'2026'!$K$8:$K$185,"&gt;2029",'2026'!$R$8:$R$185,"республика50м")</f>
        <v>0</v>
      </c>
      <c r="BU34" s="70">
        <f>SUMIFS('2026'!$N$8:$N$185,'2026'!$K$8:$K$185,"&gt;2029",'2026'!$J$8:$J$185,"&gt;4",'2026'!$R$8:$R$185,"республика50м")</f>
        <v>0</v>
      </c>
      <c r="BV34" s="70">
        <f t="shared" si="46"/>
        <v>0</v>
      </c>
      <c r="BW34" s="77"/>
      <c r="BX34" s="77"/>
      <c r="BY34" s="78"/>
      <c r="BZ34" s="70">
        <f>COUNTIFS('2026'!$J$8:$J$185,"&gt;4",'2026'!$K$8:$K$185,"&gt;2029",'2026'!$R$8:$R$185,"область50м")</f>
        <v>0</v>
      </c>
      <c r="CA34" s="70">
        <f>SUMIFS('2026'!$N$8:$N$185,'2026'!$K$8:$K$185,"&gt;2029",'2026'!$J$8:$J$185,"&gt;4",'2026'!$R$8:$R$185,"область50м")</f>
        <v>0</v>
      </c>
      <c r="CB34" s="70">
        <f t="shared" si="48"/>
        <v>0</v>
      </c>
      <c r="CC34" s="77"/>
      <c r="CD34" s="77"/>
      <c r="CE34" s="78"/>
      <c r="CF34" s="70">
        <f>COUNTIFS('2026'!$J$8:$J$185,"&gt;4",'2026'!$K$8:$K$185,"&gt;2029",'2026'!$R$8:$R$185,"район50м")</f>
        <v>0</v>
      </c>
      <c r="CG34" s="70">
        <f>SUMIFS('2026'!$N$8:$N$185,'2026'!$K$8:$K$185,"&gt;2029",'2026'!$J$8:$J$185,"&gt;4",'2026'!$R$8:$R$185,"район50м")</f>
        <v>0</v>
      </c>
      <c r="CH34" s="71">
        <f t="shared" si="50"/>
        <v>0</v>
      </c>
      <c r="CI34" s="77"/>
      <c r="CJ34" s="77"/>
      <c r="CK34" s="78"/>
      <c r="CL34" s="70">
        <f>COUNTIFS('2026'!$J$8:$J$185,"&gt;4",'2026'!$K$8:$K$185,"&gt;2029",'2026'!$R$8:$R$185,"райпо")</f>
        <v>0</v>
      </c>
      <c r="CM34" s="70">
        <f>SUMIFS('2026'!$N$8:$N$185,'2026'!$K$8:$K$185,"&gt;2029",'2026'!$J$8:$J$185,"&gt;4",'2026'!$R$8:$R$185,"райпо")</f>
        <v>0</v>
      </c>
      <c r="CN34" s="85">
        <f t="shared" si="52"/>
        <v>0</v>
      </c>
      <c r="CO34" s="77"/>
      <c r="CP34" s="77"/>
      <c r="CQ34" s="78"/>
      <c r="CR34" s="70">
        <f>COUNTIFS('2026'!$J$8:$J$185,"&gt;4",'2026'!$K$8:$K$185,"&gt;2029",'2026'!$R$8:$R$185,"инаяч")</f>
        <v>0</v>
      </c>
      <c r="CS34" s="73">
        <f>SUMIFS('2026'!$N$8:$N$185,'2026'!$K$8:$K$185,"&gt;2029",'2026'!$J$8:$J$185,"&gt;4",'2026'!$R$8:$R$185,"инаяч")</f>
        <v>0</v>
      </c>
      <c r="CT34" s="86">
        <f t="shared" si="54"/>
        <v>0</v>
      </c>
      <c r="CU34" s="77"/>
      <c r="CV34" s="77"/>
      <c r="CW34" s="78"/>
      <c r="CX34" s="70">
        <f>COUNTIFS('2026'!$J$8:$J$185,"&gt;4",'2026'!$K$8:$K$185,"&gt;2029",'2026'!$R$8:$R$185,"бесхозяйное")</f>
        <v>0</v>
      </c>
      <c r="CY34" s="73">
        <f>SUMIFS('2026'!$N$8:$N$185,'2026'!$K$8:$K$185,"&gt;2029",'2026'!$J$8:$J$185,"&gt;4",'2026'!$R$8:$R$185,"бесхозяйное")</f>
        <v>0</v>
      </c>
      <c r="DB34" s="87">
        <f t="shared" si="17"/>
        <v>6</v>
      </c>
      <c r="DC34" s="88">
        <f t="shared" si="100"/>
        <v>0</v>
      </c>
      <c r="DD34" s="88">
        <f t="shared" si="100"/>
        <v>0</v>
      </c>
      <c r="DE34" s="89">
        <f t="shared" si="101"/>
        <v>0</v>
      </c>
      <c r="DF34" s="90">
        <f t="shared" si="102"/>
        <v>6</v>
      </c>
      <c r="DG34" s="91">
        <f t="shared" si="102"/>
        <v>25.7</v>
      </c>
      <c r="DH34" s="92">
        <f>AL34+BP34</f>
        <v>0</v>
      </c>
      <c r="DI34" s="90"/>
      <c r="DJ34" s="90"/>
      <c r="DK34" s="93"/>
      <c r="DL34" s="90">
        <f t="shared" si="103"/>
        <v>0</v>
      </c>
      <c r="DM34" s="91">
        <f t="shared" si="103"/>
        <v>0</v>
      </c>
      <c r="DN34" s="92">
        <f t="shared" si="103"/>
        <v>5</v>
      </c>
      <c r="DO34" s="90"/>
      <c r="DP34" s="90"/>
      <c r="DQ34" s="93"/>
      <c r="DR34" s="90">
        <f t="shared" si="104"/>
        <v>5</v>
      </c>
      <c r="DS34" s="91">
        <f t="shared" si="104"/>
        <v>15.7</v>
      </c>
      <c r="DT34" s="92">
        <f t="shared" si="104"/>
        <v>1</v>
      </c>
      <c r="DU34" s="90"/>
      <c r="DV34" s="90"/>
      <c r="DW34" s="93"/>
      <c r="DX34" s="90">
        <f t="shared" si="105"/>
        <v>1</v>
      </c>
      <c r="DY34" s="91">
        <f t="shared" si="105"/>
        <v>10</v>
      </c>
    </row>
    <row r="36" spans="1:129" ht="24" customHeight="1" x14ac:dyDescent="0.3">
      <c r="A36" s="94" t="s">
        <v>192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</row>
    <row r="37" spans="1:129" ht="15.75" thickBot="1" x14ac:dyDescent="0.3"/>
    <row r="38" spans="1:129" s="27" customFormat="1" ht="23.25" customHeight="1" x14ac:dyDescent="0.25">
      <c r="A38" s="6" t="s">
        <v>196</v>
      </c>
      <c r="B38" s="15">
        <f>C38+F38</f>
        <v>55</v>
      </c>
      <c r="C38" s="24">
        <f>SUM(C39:C42)</f>
        <v>14</v>
      </c>
      <c r="D38" s="24">
        <f>SUM(D39:D42)</f>
        <v>0</v>
      </c>
      <c r="E38" s="96">
        <f t="shared" ref="E38:E47" si="106">IFERROR(D38/C38*100,0)</f>
        <v>0</v>
      </c>
      <c r="F38" s="15">
        <f>SUM(F39:F42)</f>
        <v>41</v>
      </c>
      <c r="G38" s="17">
        <f>SUM(G39:G42)</f>
        <v>277</v>
      </c>
      <c r="H38" s="14">
        <f>I38+L38</f>
        <v>7</v>
      </c>
      <c r="I38" s="97">
        <f>SUM(I39:I42)</f>
        <v>3</v>
      </c>
      <c r="J38" s="97">
        <f>SUM(J39:J42)</f>
        <v>0</v>
      </c>
      <c r="K38" s="98">
        <f t="shared" ref="K38:K47" si="107">IFERROR(J38/I38*100,0)</f>
        <v>0</v>
      </c>
      <c r="L38" s="15">
        <f>SUM(L39:L42)</f>
        <v>4</v>
      </c>
      <c r="M38" s="17">
        <f>SUM(M39:M42)</f>
        <v>69.3</v>
      </c>
      <c r="N38" s="14">
        <f>O38+R38</f>
        <v>0</v>
      </c>
      <c r="O38" s="15">
        <f>SUM(O39:O42)</f>
        <v>0</v>
      </c>
      <c r="P38" s="15">
        <f>SUM(P39:P42)</f>
        <v>0</v>
      </c>
      <c r="Q38" s="16">
        <f t="shared" ref="Q38:Q47" si="108">IFERROR(P38/O38*100,0)</f>
        <v>0</v>
      </c>
      <c r="R38" s="15">
        <f>SUM(R39:R42)</f>
        <v>0</v>
      </c>
      <c r="S38" s="15">
        <f>SUM(S39:S42)</f>
        <v>0</v>
      </c>
      <c r="T38" s="15">
        <f>U38+X38</f>
        <v>0</v>
      </c>
      <c r="U38" s="15">
        <f>SUM(U39:U42)</f>
        <v>0</v>
      </c>
      <c r="V38" s="15">
        <f>SUM(V39:V42)</f>
        <v>0</v>
      </c>
      <c r="W38" s="16">
        <f t="shared" ref="W38:W47" si="109">IFERROR(V38/U38*100,0)</f>
        <v>0</v>
      </c>
      <c r="X38" s="15">
        <f>SUM(X39:X42)</f>
        <v>0</v>
      </c>
      <c r="Y38" s="15">
        <f>SUM(Y39:Y42)</f>
        <v>0</v>
      </c>
      <c r="Z38" s="15">
        <f>AA38+AD38</f>
        <v>7</v>
      </c>
      <c r="AA38" s="15">
        <f>SUM(AA39:AA42)</f>
        <v>3</v>
      </c>
      <c r="AB38" s="15">
        <f>SUM(AB39:AB42)</f>
        <v>0</v>
      </c>
      <c r="AC38" s="16">
        <f t="shared" ref="AC38:AC47" si="110">IFERROR(AB38/AA38*100,0)</f>
        <v>0</v>
      </c>
      <c r="AD38" s="15">
        <f>SUM(AD39:AD42)</f>
        <v>4</v>
      </c>
      <c r="AE38" s="17">
        <f>SUM(AE39:AE42)</f>
        <v>69.3</v>
      </c>
      <c r="AF38" s="18">
        <f>AG38+AJ38</f>
        <v>42</v>
      </c>
      <c r="AG38" s="19">
        <f>SUM(AG39:AG42)</f>
        <v>7</v>
      </c>
      <c r="AH38" s="19">
        <f>SUM(AH39:AH42)</f>
        <v>0</v>
      </c>
      <c r="AI38" s="20">
        <f t="shared" ref="AI38:AI47" si="111">IFERROR(AH38/AG38*100,0)</f>
        <v>0</v>
      </c>
      <c r="AJ38" s="15">
        <f>SUM(AJ39:AJ42)</f>
        <v>35</v>
      </c>
      <c r="AK38" s="17">
        <f>SUM(AK39:AK42)</f>
        <v>189.4</v>
      </c>
      <c r="AL38" s="18">
        <f>AM38+AP38</f>
        <v>0</v>
      </c>
      <c r="AM38" s="15">
        <f>SUM(AM39:AM42)</f>
        <v>0</v>
      </c>
      <c r="AN38" s="15">
        <f>SUM(AN39:AN42)</f>
        <v>0</v>
      </c>
      <c r="AO38" s="16">
        <f t="shared" ref="AO38:AO47" si="112">IFERROR(AN38/AM38*100,0)</f>
        <v>0</v>
      </c>
      <c r="AP38" s="15">
        <f>SUM(AP39:AP42)</f>
        <v>0</v>
      </c>
      <c r="AQ38" s="15">
        <f>SUM(AQ39:AQ42)</f>
        <v>0</v>
      </c>
      <c r="AR38" s="15">
        <f>AS38+AV38</f>
        <v>11</v>
      </c>
      <c r="AS38" s="15">
        <f>SUM(AS39:AS42)</f>
        <v>0</v>
      </c>
      <c r="AT38" s="15">
        <f>SUM(AT39:AT42)</f>
        <v>0</v>
      </c>
      <c r="AU38" s="16">
        <f t="shared" ref="AU38:AU47" si="113">IFERROR(AT38/AS38*100,0)</f>
        <v>0</v>
      </c>
      <c r="AV38" s="15">
        <f>SUM(AV39:AV42)</f>
        <v>11</v>
      </c>
      <c r="AW38" s="15">
        <f>SUM(AW39:AW42)</f>
        <v>41</v>
      </c>
      <c r="AX38" s="15">
        <f>AY38+BB38</f>
        <v>31</v>
      </c>
      <c r="AY38" s="15">
        <f>SUM(AY39:AY42)</f>
        <v>7</v>
      </c>
      <c r="AZ38" s="15">
        <f>SUM(AZ39:AZ42)</f>
        <v>0</v>
      </c>
      <c r="BA38" s="16">
        <f t="shared" ref="BA38:BA47" si="114">IFERROR(AZ38/AY38*100,0)</f>
        <v>0</v>
      </c>
      <c r="BB38" s="15">
        <f>SUM(BB39:BB42)</f>
        <v>24</v>
      </c>
      <c r="BC38" s="17">
        <f>SUM(BC39:BC42)</f>
        <v>148.4</v>
      </c>
      <c r="BD38" s="18">
        <f>BE38+BH38</f>
        <v>6</v>
      </c>
      <c r="BE38" s="21">
        <f>SUM(BE39:BE42)</f>
        <v>4</v>
      </c>
      <c r="BF38" s="21">
        <f>SUM(BF39:BF42)</f>
        <v>0</v>
      </c>
      <c r="BG38" s="16">
        <f t="shared" ref="BG38:BG48" si="115">IFERROR(BF38/BE38*100,0)</f>
        <v>0</v>
      </c>
      <c r="BH38" s="15">
        <f>SUM(BH39:BH42)</f>
        <v>2</v>
      </c>
      <c r="BI38" s="17">
        <f>SUM(BI39:BI42)</f>
        <v>18.3</v>
      </c>
      <c r="BJ38" s="18">
        <f>BK38+BN38</f>
        <v>0</v>
      </c>
      <c r="BK38" s="22">
        <f>SUM(BK39:BK42)</f>
        <v>0</v>
      </c>
      <c r="BL38" s="22">
        <f>SUM(BL39:BL42)</f>
        <v>0</v>
      </c>
      <c r="BM38" s="23">
        <f t="shared" ref="BM38:BM47" si="116">IFERROR(BL38/BK38*100,0)</f>
        <v>0</v>
      </c>
      <c r="BN38" s="15">
        <f>SUM(BN39:BN42)</f>
        <v>0</v>
      </c>
      <c r="BO38" s="15">
        <f>SUM(BO39:BO42)</f>
        <v>0</v>
      </c>
      <c r="BP38" s="15">
        <f>BQ38+BT38</f>
        <v>0</v>
      </c>
      <c r="BQ38" s="15">
        <f>SUM(BQ39:BQ42)</f>
        <v>0</v>
      </c>
      <c r="BR38" s="15">
        <f>SUM(BR39:BR42)</f>
        <v>0</v>
      </c>
      <c r="BS38" s="16">
        <f t="shared" ref="BS38:BS47" si="117">IFERROR(BR38/BQ38*100,0)</f>
        <v>0</v>
      </c>
      <c r="BT38" s="15">
        <f>SUM(BT39:BT42)</f>
        <v>0</v>
      </c>
      <c r="BU38" s="15">
        <f>SUM(BU39:BU42)</f>
        <v>0</v>
      </c>
      <c r="BV38" s="15">
        <f>BW38+BZ38</f>
        <v>0</v>
      </c>
      <c r="BW38" s="15">
        <f>SUM(BW39:BW42)</f>
        <v>0</v>
      </c>
      <c r="BX38" s="15">
        <f>SUM(BX39:BX42)</f>
        <v>0</v>
      </c>
      <c r="BY38" s="16">
        <f t="shared" ref="BY38:BY47" si="118">IFERROR(BX38/BW38*100,0)</f>
        <v>0</v>
      </c>
      <c r="BZ38" s="15">
        <f>SUM(BZ39:BZ42)</f>
        <v>0</v>
      </c>
      <c r="CA38" s="15">
        <f>SUM(CA39:CA42)</f>
        <v>0</v>
      </c>
      <c r="CB38" s="15">
        <f>CC38+CF38</f>
        <v>0</v>
      </c>
      <c r="CC38" s="15">
        <f>SUM(CC39:CC42)</f>
        <v>0</v>
      </c>
      <c r="CD38" s="15">
        <f>SUM(CD39:CD42)</f>
        <v>0</v>
      </c>
      <c r="CE38" s="16">
        <f t="shared" ref="CE38:CE47" si="119">IFERROR(CD38/CC38*100,0)</f>
        <v>0</v>
      </c>
      <c r="CF38" s="15">
        <f>SUM(CF39:CF42)</f>
        <v>0</v>
      </c>
      <c r="CG38" s="15">
        <f>SUM(CG39:CG42)</f>
        <v>0</v>
      </c>
      <c r="CH38" s="24">
        <f>CI38+CL38</f>
        <v>6</v>
      </c>
      <c r="CI38" s="15">
        <f>SUM(CI39:CI42)</f>
        <v>4</v>
      </c>
      <c r="CJ38" s="15">
        <f>SUM(CJ39:CJ42)</f>
        <v>0</v>
      </c>
      <c r="CK38" s="16">
        <f t="shared" ref="CK38:CK47" si="120">IFERROR(CJ38/CI38*100,0)</f>
        <v>0</v>
      </c>
      <c r="CL38" s="15">
        <f>SUM(CL39:CL42)</f>
        <v>2</v>
      </c>
      <c r="CM38" s="15">
        <f>SUM(CM39:CM42)</f>
        <v>18.3</v>
      </c>
      <c r="CN38" s="25">
        <f>CO38+CR38</f>
        <v>0</v>
      </c>
      <c r="CO38" s="15">
        <f>SUM(CO39:CO42)</f>
        <v>0</v>
      </c>
      <c r="CP38" s="15">
        <f>SUM(CP39:CP42)</f>
        <v>0</v>
      </c>
      <c r="CQ38" s="16">
        <f t="shared" ref="CQ38:CQ47" si="121">IFERROR(CP38/CO38*100,0)</f>
        <v>0</v>
      </c>
      <c r="CR38" s="15">
        <f>SUM(CR39:CR42)</f>
        <v>0</v>
      </c>
      <c r="CS38" s="17">
        <f>SUM(CS39:CS42)</f>
        <v>0</v>
      </c>
      <c r="CT38" s="26">
        <f>CU38+CX38</f>
        <v>0</v>
      </c>
      <c r="CU38" s="15">
        <f>SUM(CU39:CU42)</f>
        <v>0</v>
      </c>
      <c r="CV38" s="15">
        <f>SUM(CV39:CV42)</f>
        <v>0</v>
      </c>
      <c r="CW38" s="16">
        <f t="shared" ref="CW38:CW47" si="122">IFERROR(CV38/CU38*100,0)</f>
        <v>0</v>
      </c>
      <c r="CX38" s="15">
        <f>SUM(CX39:CX42)</f>
        <v>0</v>
      </c>
      <c r="CY38" s="17">
        <f>SUM(CY39:CY42)</f>
        <v>0</v>
      </c>
      <c r="DB38" s="14">
        <f t="shared" ref="DB38:DB67" si="123">DC38+DF38</f>
        <v>42</v>
      </c>
      <c r="DC38" s="19">
        <f>SUM(DC39:DC42)</f>
        <v>7</v>
      </c>
      <c r="DD38" s="19">
        <f>SUM(DD39:DD42)</f>
        <v>0</v>
      </c>
      <c r="DE38" s="20">
        <f>IFERROR(DD38/DC38*100,0)</f>
        <v>0</v>
      </c>
      <c r="DF38" s="15">
        <f>SUM(DF39:DF42)</f>
        <v>35</v>
      </c>
      <c r="DG38" s="17">
        <f>SUM(DG39:DG42)</f>
        <v>189.4</v>
      </c>
      <c r="DH38" s="18">
        <f>DI38+DL38</f>
        <v>0</v>
      </c>
      <c r="DI38" s="15">
        <f>SUM(DI39:DI42)</f>
        <v>0</v>
      </c>
      <c r="DJ38" s="15">
        <f>SUM(DJ39:DJ42)</f>
        <v>0</v>
      </c>
      <c r="DK38" s="16">
        <f t="shared" ref="DK38:DK47" si="124">IFERROR(DJ38/DI38*100,0)</f>
        <v>0</v>
      </c>
      <c r="DL38" s="15">
        <f>SUM(DL39:DL42)</f>
        <v>0</v>
      </c>
      <c r="DM38" s="17">
        <f>SUM(DM39:DM42)</f>
        <v>0</v>
      </c>
      <c r="DN38" s="18">
        <f>DO38+DR38</f>
        <v>11</v>
      </c>
      <c r="DO38" s="15">
        <f>SUM(DO39:DO42)</f>
        <v>0</v>
      </c>
      <c r="DP38" s="15">
        <f>SUM(DP39:DP42)</f>
        <v>0</v>
      </c>
      <c r="DQ38" s="16">
        <f t="shared" ref="DQ38:DQ47" si="125">IFERROR(DP38/DO38*100,0)</f>
        <v>0</v>
      </c>
      <c r="DR38" s="15">
        <f>SUM(DR39:DR42)</f>
        <v>11</v>
      </c>
      <c r="DS38" s="17">
        <f>SUM(DS39:DS42)</f>
        <v>41</v>
      </c>
      <c r="DT38" s="18">
        <f>DU38+DX38</f>
        <v>31</v>
      </c>
      <c r="DU38" s="15">
        <f>SUM(DU39:DU42)</f>
        <v>7</v>
      </c>
      <c r="DV38" s="15">
        <f>SUM(DV39:DV42)</f>
        <v>0</v>
      </c>
      <c r="DW38" s="16">
        <f t="shared" ref="DW38:DW47" si="126">IFERROR(DV38/DU38*100,0)</f>
        <v>0</v>
      </c>
      <c r="DX38" s="15">
        <f>SUM(DX39:DX42)</f>
        <v>24</v>
      </c>
      <c r="DY38" s="17">
        <f>SUM(DY39:DY42)</f>
        <v>148.4</v>
      </c>
    </row>
    <row r="39" spans="1:129" s="45" customFormat="1" ht="15.75" customHeight="1" x14ac:dyDescent="0.25">
      <c r="A39" s="28" t="s">
        <v>168</v>
      </c>
      <c r="B39" s="29">
        <f t="shared" ref="B39:B67" si="127">C39+F39</f>
        <v>6</v>
      </c>
      <c r="C39" s="30">
        <f t="shared" ref="C39:D47" si="128">I39+AG39+BE39+CU39</f>
        <v>2</v>
      </c>
      <c r="D39" s="30">
        <f t="shared" si="128"/>
        <v>0</v>
      </c>
      <c r="E39" s="31">
        <f t="shared" si="106"/>
        <v>0</v>
      </c>
      <c r="F39" s="29">
        <f t="shared" ref="F39:G67" si="129">L39+AJ39+BH39+CX39</f>
        <v>4</v>
      </c>
      <c r="G39" s="32">
        <f t="shared" si="129"/>
        <v>12.3</v>
      </c>
      <c r="H39" s="33">
        <f t="shared" ref="H39:H41" si="130">I39+L39</f>
        <v>1</v>
      </c>
      <c r="I39" s="34">
        <f t="shared" ref="I39:J41" si="131">O39+U39+AA39</f>
        <v>0</v>
      </c>
      <c r="J39" s="34">
        <f>P39+V39+AB39</f>
        <v>0</v>
      </c>
      <c r="K39" s="35">
        <f t="shared" si="107"/>
        <v>0</v>
      </c>
      <c r="L39" s="29">
        <f>L49+L54+L59+L64</f>
        <v>1</v>
      </c>
      <c r="M39" s="32">
        <f>M44+M49+M54+M59+M64</f>
        <v>1</v>
      </c>
      <c r="N39" s="33">
        <f t="shared" ref="N39:N41" si="132">O39+R39</f>
        <v>0</v>
      </c>
      <c r="O39" s="29">
        <f t="shared" ref="O39:P42" si="133">O44</f>
        <v>0</v>
      </c>
      <c r="P39" s="29">
        <f t="shared" si="133"/>
        <v>0</v>
      </c>
      <c r="Q39" s="36">
        <f t="shared" si="108"/>
        <v>0</v>
      </c>
      <c r="R39" s="29">
        <f>R49+R54+R59+R64</f>
        <v>0</v>
      </c>
      <c r="S39" s="29">
        <f>S44+S49+S54+S59+S64</f>
        <v>0</v>
      </c>
      <c r="T39" s="29">
        <f t="shared" ref="T39:T41" si="134">U39+X39</f>
        <v>0</v>
      </c>
      <c r="U39" s="29">
        <f t="shared" ref="U39:V42" si="135">U44</f>
        <v>0</v>
      </c>
      <c r="V39" s="29">
        <f t="shared" si="135"/>
        <v>0</v>
      </c>
      <c r="W39" s="36">
        <f t="shared" si="109"/>
        <v>0</v>
      </c>
      <c r="X39" s="29">
        <f>X49+X54+X59+X64</f>
        <v>0</v>
      </c>
      <c r="Y39" s="29">
        <f>Y44+Y49+Y54+Y59+Y64</f>
        <v>0</v>
      </c>
      <c r="Z39" s="29">
        <f t="shared" ref="Z39:Z67" si="136">AA39+AD39</f>
        <v>1</v>
      </c>
      <c r="AA39" s="29">
        <f t="shared" ref="AA39:AB42" si="137">AA44</f>
        <v>0</v>
      </c>
      <c r="AB39" s="29">
        <f t="shared" si="137"/>
        <v>0</v>
      </c>
      <c r="AC39" s="36">
        <f t="shared" si="110"/>
        <v>0</v>
      </c>
      <c r="AD39" s="29">
        <f>AD49+AD54+AD59+AD64</f>
        <v>1</v>
      </c>
      <c r="AE39" s="32">
        <f>AE44+AE49+AE54+AE59+AE64</f>
        <v>1</v>
      </c>
      <c r="AF39" s="37">
        <f t="shared" ref="AF39:AF67" si="138">AG39+AJ39</f>
        <v>2</v>
      </c>
      <c r="AG39" s="38">
        <f t="shared" ref="AG39:AH47" si="139">AM39+AS39+AY39</f>
        <v>0</v>
      </c>
      <c r="AH39" s="38">
        <f t="shared" si="139"/>
        <v>0</v>
      </c>
      <c r="AI39" s="39">
        <f t="shared" si="111"/>
        <v>0</v>
      </c>
      <c r="AJ39" s="29">
        <f>AJ49+AJ54+AJ59+AJ64</f>
        <v>2</v>
      </c>
      <c r="AK39" s="32">
        <f>AK44+AK49+AK54+AK59+AK64</f>
        <v>6.5</v>
      </c>
      <c r="AL39" s="37">
        <f t="shared" ref="AL39:AL67" si="140">AM39+AP39</f>
        <v>0</v>
      </c>
      <c r="AM39" s="29">
        <f t="shared" ref="AM39:AN42" si="141">AM44</f>
        <v>0</v>
      </c>
      <c r="AN39" s="29">
        <f t="shared" si="141"/>
        <v>0</v>
      </c>
      <c r="AO39" s="36">
        <f t="shared" si="112"/>
        <v>0</v>
      </c>
      <c r="AP39" s="29">
        <f>AP49+AP54+AP59+AP64</f>
        <v>0</v>
      </c>
      <c r="AQ39" s="29">
        <f>AQ44+AQ49+AQ54+AQ59+AQ64</f>
        <v>0</v>
      </c>
      <c r="AR39" s="29">
        <f t="shared" ref="AR39:AR67" si="142">AS39+AV39</f>
        <v>0</v>
      </c>
      <c r="AS39" s="29">
        <f t="shared" ref="AS39:AT42" si="143">AS44</f>
        <v>0</v>
      </c>
      <c r="AT39" s="29">
        <f t="shared" si="143"/>
        <v>0</v>
      </c>
      <c r="AU39" s="36">
        <f t="shared" si="113"/>
        <v>0</v>
      </c>
      <c r="AV39" s="29">
        <f>AV49+AV54+AV59+AV64</f>
        <v>0</v>
      </c>
      <c r="AW39" s="29">
        <f>AW44+AW49+AW54+AW59+AW64</f>
        <v>0</v>
      </c>
      <c r="AX39" s="29">
        <f t="shared" ref="AX39:AX67" si="144">AY39+BB39</f>
        <v>2</v>
      </c>
      <c r="AY39" s="29">
        <f t="shared" ref="AY39:AZ42" si="145">AY44</f>
        <v>0</v>
      </c>
      <c r="AZ39" s="29">
        <f t="shared" si="145"/>
        <v>0</v>
      </c>
      <c r="BA39" s="36">
        <f t="shared" si="114"/>
        <v>0</v>
      </c>
      <c r="BB39" s="29">
        <f>BB49+BB54+BB59+BB64</f>
        <v>2</v>
      </c>
      <c r="BC39" s="32">
        <f>BC44+BC49+BC54+BC59+BC64</f>
        <v>6.5</v>
      </c>
      <c r="BD39" s="37">
        <f t="shared" ref="BD39:BD41" si="146">BE39+BH39</f>
        <v>3</v>
      </c>
      <c r="BE39" s="40">
        <f t="shared" ref="BE39:BF41" si="147">BK39+CI39+CO39</f>
        <v>2</v>
      </c>
      <c r="BF39" s="40">
        <f t="shared" si="147"/>
        <v>0</v>
      </c>
      <c r="BG39" s="41">
        <f t="shared" si="115"/>
        <v>0</v>
      </c>
      <c r="BH39" s="29">
        <f>BH49+BH54+BH59+BH64</f>
        <v>1</v>
      </c>
      <c r="BI39" s="32">
        <f>BI44+BI49+BI54+BI59+BI64</f>
        <v>4.8</v>
      </c>
      <c r="BJ39" s="37">
        <f t="shared" ref="BJ39:BJ41" si="148">BK39+BN39</f>
        <v>0</v>
      </c>
      <c r="BK39" s="42">
        <f t="shared" ref="BK39:BL47" si="149">BQ39+BW39+CC39</f>
        <v>0</v>
      </c>
      <c r="BL39" s="42">
        <f t="shared" si="149"/>
        <v>0</v>
      </c>
      <c r="BM39" s="41">
        <f t="shared" si="116"/>
        <v>0</v>
      </c>
      <c r="BN39" s="29">
        <f>BN49+BN54+BN59+BN64</f>
        <v>0</v>
      </c>
      <c r="BO39" s="29">
        <f>BO44+BO49+BO54+BO59+BO64</f>
        <v>0</v>
      </c>
      <c r="BP39" s="29">
        <f t="shared" ref="BP39:BP67" si="150">BQ39+BT39</f>
        <v>0</v>
      </c>
      <c r="BQ39" s="29">
        <f t="shared" ref="BQ39:BR42" si="151">BQ44</f>
        <v>0</v>
      </c>
      <c r="BR39" s="29">
        <f t="shared" si="151"/>
        <v>0</v>
      </c>
      <c r="BS39" s="36">
        <f t="shared" si="117"/>
        <v>0</v>
      </c>
      <c r="BT39" s="29">
        <f>BT49+BT54+BT59+BT64</f>
        <v>0</v>
      </c>
      <c r="BU39" s="29">
        <f>BU44+BU49+BU54+BU59+BU64</f>
        <v>0</v>
      </c>
      <c r="BV39" s="29">
        <f t="shared" ref="BV39:BV67" si="152">BW39+BZ39</f>
        <v>0</v>
      </c>
      <c r="BW39" s="29">
        <f t="shared" ref="BW39:BX42" si="153">BW44</f>
        <v>0</v>
      </c>
      <c r="BX39" s="29">
        <f t="shared" si="153"/>
        <v>0</v>
      </c>
      <c r="BY39" s="36">
        <f t="shared" si="118"/>
        <v>0</v>
      </c>
      <c r="BZ39" s="29">
        <f>BZ49+BZ54+BZ59+BZ64</f>
        <v>0</v>
      </c>
      <c r="CA39" s="29">
        <f>CA44+CA49+CA54+CA59+CA64</f>
        <v>0</v>
      </c>
      <c r="CB39" s="29">
        <f t="shared" ref="CB39:CB67" si="154">CC39+CF39</f>
        <v>0</v>
      </c>
      <c r="CC39" s="29">
        <f t="shared" ref="CC39:CD42" si="155">CC44</f>
        <v>0</v>
      </c>
      <c r="CD39" s="29">
        <f t="shared" si="155"/>
        <v>0</v>
      </c>
      <c r="CE39" s="36">
        <f t="shared" si="119"/>
        <v>0</v>
      </c>
      <c r="CF39" s="29">
        <f>CF49+CF54+CF59+CF64</f>
        <v>0</v>
      </c>
      <c r="CG39" s="29">
        <f>CG44+CG49+CG54+CG59+CG64</f>
        <v>0</v>
      </c>
      <c r="CH39" s="30">
        <f t="shared" ref="CH39:CH41" si="156">CI39+CL39</f>
        <v>3</v>
      </c>
      <c r="CI39" s="29">
        <f t="shared" ref="CI39:CJ42" si="157">CI44</f>
        <v>2</v>
      </c>
      <c r="CJ39" s="29">
        <f t="shared" si="157"/>
        <v>0</v>
      </c>
      <c r="CK39" s="36">
        <f t="shared" si="120"/>
        <v>0</v>
      </c>
      <c r="CL39" s="29">
        <f>CL49+CL54+CL59+CL64</f>
        <v>1</v>
      </c>
      <c r="CM39" s="29">
        <f>CM44+CM49+CM54+CM59+CM64</f>
        <v>4.8</v>
      </c>
      <c r="CN39" s="43">
        <f t="shared" ref="CN39:CN41" si="158">CO39+CR39</f>
        <v>0</v>
      </c>
      <c r="CO39" s="29">
        <f t="shared" ref="CO39:CP42" si="159">CO44</f>
        <v>0</v>
      </c>
      <c r="CP39" s="29">
        <f t="shared" si="159"/>
        <v>0</v>
      </c>
      <c r="CQ39" s="36">
        <f t="shared" si="121"/>
        <v>0</v>
      </c>
      <c r="CR39" s="29">
        <f>CR49+CR54+CR59+CR64</f>
        <v>0</v>
      </c>
      <c r="CS39" s="32">
        <f>CS44+CS49+CS54+CS59+CS64</f>
        <v>0</v>
      </c>
      <c r="CT39" s="44">
        <f t="shared" ref="CT39:CT67" si="160">CU39+CX39</f>
        <v>0</v>
      </c>
      <c r="CU39" s="29">
        <f t="shared" ref="CU39:CV42" si="161">CU44</f>
        <v>0</v>
      </c>
      <c r="CV39" s="29">
        <f t="shared" si="161"/>
        <v>0</v>
      </c>
      <c r="CW39" s="36">
        <f t="shared" si="122"/>
        <v>0</v>
      </c>
      <c r="CX39" s="29">
        <f>CX49+CX54+CX59+CX64</f>
        <v>0</v>
      </c>
      <c r="CY39" s="32">
        <f>CY44+CY49+CY54+CY59+CY64</f>
        <v>0</v>
      </c>
      <c r="DB39" s="46">
        <f t="shared" si="123"/>
        <v>2</v>
      </c>
      <c r="DC39" s="38">
        <f t="shared" ref="DC39:DD42" si="162">DI39+DO39+DU39</f>
        <v>0</v>
      </c>
      <c r="DD39" s="38">
        <f t="shared" si="162"/>
        <v>0</v>
      </c>
      <c r="DE39" s="39">
        <f t="shared" ref="DE39:DE42" si="163">IFERROR(DD39/DC39*100,0)</f>
        <v>0</v>
      </c>
      <c r="DF39" s="47">
        <f t="shared" ref="DF39:DG42" si="164">DL39+DR39+DX39</f>
        <v>2</v>
      </c>
      <c r="DG39" s="48">
        <f t="shared" si="164"/>
        <v>6.5</v>
      </c>
      <c r="DH39" s="49">
        <f t="shared" ref="DH39:DJ42" si="165">AL39+BP39</f>
        <v>0</v>
      </c>
      <c r="DI39" s="47">
        <f t="shared" si="165"/>
        <v>0</v>
      </c>
      <c r="DJ39" s="47">
        <f t="shared" si="165"/>
        <v>0</v>
      </c>
      <c r="DK39" s="50">
        <f t="shared" si="124"/>
        <v>0</v>
      </c>
      <c r="DL39" s="47">
        <f t="shared" ref="DL39:DP42" si="166">AP39+BT39</f>
        <v>0</v>
      </c>
      <c r="DM39" s="48">
        <f t="shared" si="166"/>
        <v>0</v>
      </c>
      <c r="DN39" s="49">
        <f t="shared" si="166"/>
        <v>0</v>
      </c>
      <c r="DO39" s="47">
        <f t="shared" si="166"/>
        <v>0</v>
      </c>
      <c r="DP39" s="47">
        <f t="shared" si="166"/>
        <v>0</v>
      </c>
      <c r="DQ39" s="50">
        <f t="shared" si="125"/>
        <v>0</v>
      </c>
      <c r="DR39" s="47">
        <f t="shared" ref="DR39:DV42" si="167">AV39+BZ39</f>
        <v>0</v>
      </c>
      <c r="DS39" s="48">
        <f t="shared" si="167"/>
        <v>0</v>
      </c>
      <c r="DT39" s="49">
        <f t="shared" si="167"/>
        <v>2</v>
      </c>
      <c r="DU39" s="47">
        <f t="shared" si="167"/>
        <v>0</v>
      </c>
      <c r="DV39" s="47">
        <f t="shared" si="167"/>
        <v>0</v>
      </c>
      <c r="DW39" s="50">
        <f t="shared" si="126"/>
        <v>0</v>
      </c>
      <c r="DX39" s="47">
        <f t="shared" ref="DX39:DY42" si="168">BB39+CF39</f>
        <v>2</v>
      </c>
      <c r="DY39" s="48">
        <f t="shared" si="168"/>
        <v>6.5</v>
      </c>
    </row>
    <row r="40" spans="1:129" s="45" customFormat="1" ht="15.75" customHeight="1" x14ac:dyDescent="0.25">
      <c r="A40" s="28" t="s">
        <v>169</v>
      </c>
      <c r="B40" s="29">
        <f t="shared" si="127"/>
        <v>22</v>
      </c>
      <c r="C40" s="30">
        <f t="shared" si="128"/>
        <v>8</v>
      </c>
      <c r="D40" s="30">
        <f t="shared" si="128"/>
        <v>0</v>
      </c>
      <c r="E40" s="31">
        <f t="shared" si="106"/>
        <v>0</v>
      </c>
      <c r="F40" s="29">
        <f t="shared" si="129"/>
        <v>14</v>
      </c>
      <c r="G40" s="32">
        <f t="shared" si="129"/>
        <v>136</v>
      </c>
      <c r="H40" s="33">
        <f t="shared" si="130"/>
        <v>4</v>
      </c>
      <c r="I40" s="34">
        <f t="shared" si="131"/>
        <v>2</v>
      </c>
      <c r="J40" s="34">
        <f t="shared" si="131"/>
        <v>0</v>
      </c>
      <c r="K40" s="35">
        <f t="shared" si="107"/>
        <v>0</v>
      </c>
      <c r="L40" s="29">
        <f>L50+L55+L60+L65</f>
        <v>2</v>
      </c>
      <c r="M40" s="32">
        <f>M45+M50+M55+M60+M65</f>
        <v>56.1</v>
      </c>
      <c r="N40" s="33">
        <f t="shared" si="132"/>
        <v>0</v>
      </c>
      <c r="O40" s="29">
        <f t="shared" si="133"/>
        <v>0</v>
      </c>
      <c r="P40" s="29">
        <f t="shared" si="133"/>
        <v>0</v>
      </c>
      <c r="Q40" s="36">
        <f t="shared" si="108"/>
        <v>0</v>
      </c>
      <c r="R40" s="29">
        <f>R50+R55+R60+R65</f>
        <v>0</v>
      </c>
      <c r="S40" s="29">
        <f>S45+S50+S55+S60+S65</f>
        <v>0</v>
      </c>
      <c r="T40" s="29">
        <f t="shared" si="134"/>
        <v>0</v>
      </c>
      <c r="U40" s="29">
        <f t="shared" si="135"/>
        <v>0</v>
      </c>
      <c r="V40" s="29">
        <f t="shared" si="135"/>
        <v>0</v>
      </c>
      <c r="W40" s="36">
        <f t="shared" si="109"/>
        <v>0</v>
      </c>
      <c r="X40" s="29">
        <f>X50+X55+X60+X65</f>
        <v>0</v>
      </c>
      <c r="Y40" s="29">
        <f>Y45+Y50+Y55+Y60+Y65</f>
        <v>0</v>
      </c>
      <c r="Z40" s="29">
        <f t="shared" si="136"/>
        <v>4</v>
      </c>
      <c r="AA40" s="29">
        <f t="shared" si="137"/>
        <v>2</v>
      </c>
      <c r="AB40" s="29">
        <f t="shared" si="137"/>
        <v>0</v>
      </c>
      <c r="AC40" s="36">
        <f t="shared" si="110"/>
        <v>0</v>
      </c>
      <c r="AD40" s="29">
        <f>AD50+AD55+AD60+AD65</f>
        <v>2</v>
      </c>
      <c r="AE40" s="32">
        <f>AE45+AE50+AE55+AE60+AE65</f>
        <v>56.1</v>
      </c>
      <c r="AF40" s="37">
        <f t="shared" si="138"/>
        <v>16</v>
      </c>
      <c r="AG40" s="38">
        <f t="shared" si="139"/>
        <v>5</v>
      </c>
      <c r="AH40" s="38">
        <f t="shared" si="139"/>
        <v>0</v>
      </c>
      <c r="AI40" s="39">
        <f t="shared" si="111"/>
        <v>0</v>
      </c>
      <c r="AJ40" s="29">
        <f>AJ50+AJ55+AJ60+AJ65</f>
        <v>11</v>
      </c>
      <c r="AK40" s="32">
        <f>AK45+AK50+AK55+AK60+AK65</f>
        <v>73.400000000000006</v>
      </c>
      <c r="AL40" s="37">
        <f t="shared" si="140"/>
        <v>0</v>
      </c>
      <c r="AM40" s="29">
        <f t="shared" si="141"/>
        <v>0</v>
      </c>
      <c r="AN40" s="29">
        <f t="shared" si="141"/>
        <v>0</v>
      </c>
      <c r="AO40" s="36">
        <f t="shared" si="112"/>
        <v>0</v>
      </c>
      <c r="AP40" s="29">
        <f>AP50+AP55+AP60+AP65</f>
        <v>0</v>
      </c>
      <c r="AQ40" s="29">
        <f>AQ45+AQ50+AQ55+AQ60+AQ65</f>
        <v>0</v>
      </c>
      <c r="AR40" s="29">
        <f t="shared" si="142"/>
        <v>0</v>
      </c>
      <c r="AS40" s="29">
        <f t="shared" si="143"/>
        <v>0</v>
      </c>
      <c r="AT40" s="29">
        <f t="shared" si="143"/>
        <v>0</v>
      </c>
      <c r="AU40" s="36">
        <f t="shared" si="113"/>
        <v>0</v>
      </c>
      <c r="AV40" s="29">
        <f>AV50+AV55+AV60+AV65</f>
        <v>0</v>
      </c>
      <c r="AW40" s="29">
        <f>AW45+AW50+AW55+AW60+AW65</f>
        <v>0</v>
      </c>
      <c r="AX40" s="29">
        <f t="shared" si="144"/>
        <v>16</v>
      </c>
      <c r="AY40" s="29">
        <f t="shared" si="145"/>
        <v>5</v>
      </c>
      <c r="AZ40" s="29">
        <f t="shared" si="145"/>
        <v>0</v>
      </c>
      <c r="BA40" s="36">
        <f t="shared" si="114"/>
        <v>0</v>
      </c>
      <c r="BB40" s="29">
        <f>BB50+BB55+BB60+BB65</f>
        <v>11</v>
      </c>
      <c r="BC40" s="32">
        <f>BC45+BC50+BC55+BC60+BC65</f>
        <v>73.400000000000006</v>
      </c>
      <c r="BD40" s="37">
        <f t="shared" si="146"/>
        <v>2</v>
      </c>
      <c r="BE40" s="40">
        <f t="shared" si="147"/>
        <v>1</v>
      </c>
      <c r="BF40" s="40">
        <f t="shared" si="147"/>
        <v>0</v>
      </c>
      <c r="BG40" s="41">
        <f t="shared" si="115"/>
        <v>0</v>
      </c>
      <c r="BH40" s="29">
        <f>BH50+BH55+BH60+BH65</f>
        <v>1</v>
      </c>
      <c r="BI40" s="32">
        <f>BI45+BI50+BI55+BI60+BI65</f>
        <v>6.5</v>
      </c>
      <c r="BJ40" s="37">
        <f t="shared" si="148"/>
        <v>0</v>
      </c>
      <c r="BK40" s="42">
        <f t="shared" si="149"/>
        <v>0</v>
      </c>
      <c r="BL40" s="42">
        <f t="shared" si="149"/>
        <v>0</v>
      </c>
      <c r="BM40" s="41">
        <f t="shared" si="116"/>
        <v>0</v>
      </c>
      <c r="BN40" s="29">
        <f>BN50+BN55+BN60+BN65</f>
        <v>0</v>
      </c>
      <c r="BO40" s="29">
        <f>BO45+BO50+BO55+BO60+BO65</f>
        <v>0</v>
      </c>
      <c r="BP40" s="29">
        <f t="shared" si="150"/>
        <v>0</v>
      </c>
      <c r="BQ40" s="29">
        <f t="shared" si="151"/>
        <v>0</v>
      </c>
      <c r="BR40" s="29">
        <f t="shared" si="151"/>
        <v>0</v>
      </c>
      <c r="BS40" s="36">
        <f t="shared" si="117"/>
        <v>0</v>
      </c>
      <c r="BT40" s="29">
        <f>BT50+BT55+BT60+BT65</f>
        <v>0</v>
      </c>
      <c r="BU40" s="29">
        <f>BU45+BU50+BU55+BU60+BU65</f>
        <v>0</v>
      </c>
      <c r="BV40" s="29">
        <f t="shared" si="152"/>
        <v>0</v>
      </c>
      <c r="BW40" s="29">
        <f t="shared" si="153"/>
        <v>0</v>
      </c>
      <c r="BX40" s="29">
        <f t="shared" si="153"/>
        <v>0</v>
      </c>
      <c r="BY40" s="36">
        <f t="shared" si="118"/>
        <v>0</v>
      </c>
      <c r="BZ40" s="29">
        <f>BZ50+BZ55+BZ60+BZ65</f>
        <v>0</v>
      </c>
      <c r="CA40" s="29">
        <f>CA45+CA50+CA55+CA60+CA65</f>
        <v>0</v>
      </c>
      <c r="CB40" s="29">
        <f t="shared" si="154"/>
        <v>0</v>
      </c>
      <c r="CC40" s="29">
        <f t="shared" si="155"/>
        <v>0</v>
      </c>
      <c r="CD40" s="29">
        <f t="shared" si="155"/>
        <v>0</v>
      </c>
      <c r="CE40" s="36">
        <f t="shared" si="119"/>
        <v>0</v>
      </c>
      <c r="CF40" s="29">
        <f>CF50+CF55+CF60+CF65</f>
        <v>0</v>
      </c>
      <c r="CG40" s="29">
        <f>CG45+CG50+CG55+CG60+CG65</f>
        <v>0</v>
      </c>
      <c r="CH40" s="30">
        <f t="shared" si="156"/>
        <v>2</v>
      </c>
      <c r="CI40" s="29">
        <f t="shared" si="157"/>
        <v>1</v>
      </c>
      <c r="CJ40" s="29">
        <f t="shared" si="157"/>
        <v>0</v>
      </c>
      <c r="CK40" s="36">
        <f t="shared" si="120"/>
        <v>0</v>
      </c>
      <c r="CL40" s="29">
        <f>CL50+CL55+CL60+CL65</f>
        <v>1</v>
      </c>
      <c r="CM40" s="29">
        <f>CM45+CM50+CM55+CM60+CM65</f>
        <v>6.5</v>
      </c>
      <c r="CN40" s="43">
        <f t="shared" si="158"/>
        <v>0</v>
      </c>
      <c r="CO40" s="29">
        <f t="shared" si="159"/>
        <v>0</v>
      </c>
      <c r="CP40" s="29">
        <f t="shared" si="159"/>
        <v>0</v>
      </c>
      <c r="CQ40" s="36">
        <f t="shared" si="121"/>
        <v>0</v>
      </c>
      <c r="CR40" s="29">
        <f>CR50+CR55+CR60+CR65</f>
        <v>0</v>
      </c>
      <c r="CS40" s="32">
        <f>CS45+CS50+CS55+CS60+CS65</f>
        <v>0</v>
      </c>
      <c r="CT40" s="44">
        <f t="shared" si="160"/>
        <v>0</v>
      </c>
      <c r="CU40" s="29">
        <f t="shared" si="161"/>
        <v>0</v>
      </c>
      <c r="CV40" s="29">
        <f t="shared" si="161"/>
        <v>0</v>
      </c>
      <c r="CW40" s="36">
        <f t="shared" si="122"/>
        <v>0</v>
      </c>
      <c r="CX40" s="29">
        <f>CX50+CX55+CX60+CX65</f>
        <v>0</v>
      </c>
      <c r="CY40" s="32">
        <f>CY45+CY50+CY55+CY60+CY65</f>
        <v>0</v>
      </c>
      <c r="DB40" s="46">
        <f t="shared" si="123"/>
        <v>16</v>
      </c>
      <c r="DC40" s="38">
        <f t="shared" si="162"/>
        <v>5</v>
      </c>
      <c r="DD40" s="38">
        <f t="shared" si="162"/>
        <v>0</v>
      </c>
      <c r="DE40" s="39">
        <f t="shared" si="163"/>
        <v>0</v>
      </c>
      <c r="DF40" s="47">
        <f t="shared" si="164"/>
        <v>11</v>
      </c>
      <c r="DG40" s="48">
        <f t="shared" si="164"/>
        <v>73.400000000000006</v>
      </c>
      <c r="DH40" s="49">
        <f t="shared" si="165"/>
        <v>0</v>
      </c>
      <c r="DI40" s="47">
        <f t="shared" si="165"/>
        <v>0</v>
      </c>
      <c r="DJ40" s="47">
        <f t="shared" si="165"/>
        <v>0</v>
      </c>
      <c r="DK40" s="50">
        <f t="shared" si="124"/>
        <v>0</v>
      </c>
      <c r="DL40" s="47">
        <f t="shared" si="166"/>
        <v>0</v>
      </c>
      <c r="DM40" s="48">
        <f t="shared" si="166"/>
        <v>0</v>
      </c>
      <c r="DN40" s="49">
        <f t="shared" si="166"/>
        <v>0</v>
      </c>
      <c r="DO40" s="47">
        <f t="shared" si="166"/>
        <v>0</v>
      </c>
      <c r="DP40" s="47">
        <f t="shared" si="166"/>
        <v>0</v>
      </c>
      <c r="DQ40" s="50">
        <f t="shared" si="125"/>
        <v>0</v>
      </c>
      <c r="DR40" s="47">
        <f t="shared" si="167"/>
        <v>0</v>
      </c>
      <c r="DS40" s="48">
        <f t="shared" si="167"/>
        <v>0</v>
      </c>
      <c r="DT40" s="49">
        <f t="shared" si="167"/>
        <v>16</v>
      </c>
      <c r="DU40" s="47">
        <f t="shared" si="167"/>
        <v>5</v>
      </c>
      <c r="DV40" s="47">
        <f t="shared" si="167"/>
        <v>0</v>
      </c>
      <c r="DW40" s="50">
        <f t="shared" si="126"/>
        <v>0</v>
      </c>
      <c r="DX40" s="47">
        <f t="shared" si="168"/>
        <v>11</v>
      </c>
      <c r="DY40" s="48">
        <f t="shared" si="168"/>
        <v>73.400000000000006</v>
      </c>
    </row>
    <row r="41" spans="1:129" s="45" customFormat="1" ht="15.75" customHeight="1" x14ac:dyDescent="0.25">
      <c r="A41" s="28" t="s">
        <v>170</v>
      </c>
      <c r="B41" s="29">
        <f t="shared" si="127"/>
        <v>15</v>
      </c>
      <c r="C41" s="30">
        <f t="shared" si="128"/>
        <v>3</v>
      </c>
      <c r="D41" s="30">
        <f t="shared" si="128"/>
        <v>0</v>
      </c>
      <c r="E41" s="31">
        <f t="shared" si="106"/>
        <v>0</v>
      </c>
      <c r="F41" s="29">
        <f t="shared" si="129"/>
        <v>12</v>
      </c>
      <c r="G41" s="32">
        <f t="shared" si="129"/>
        <v>75.599999999999994</v>
      </c>
      <c r="H41" s="33">
        <f t="shared" si="130"/>
        <v>0</v>
      </c>
      <c r="I41" s="34">
        <f t="shared" si="131"/>
        <v>0</v>
      </c>
      <c r="J41" s="34">
        <f t="shared" si="131"/>
        <v>0</v>
      </c>
      <c r="K41" s="35">
        <f t="shared" si="107"/>
        <v>0</v>
      </c>
      <c r="L41" s="29">
        <f>L51+L56+L61+L66</f>
        <v>0</v>
      </c>
      <c r="M41" s="32">
        <f>M46+M51+M56+M61+M66</f>
        <v>0</v>
      </c>
      <c r="N41" s="33">
        <f t="shared" si="132"/>
        <v>0</v>
      </c>
      <c r="O41" s="29">
        <f t="shared" si="133"/>
        <v>0</v>
      </c>
      <c r="P41" s="29">
        <f t="shared" si="133"/>
        <v>0</v>
      </c>
      <c r="Q41" s="36">
        <f t="shared" si="108"/>
        <v>0</v>
      </c>
      <c r="R41" s="29">
        <f>R51+R56+R61+R66</f>
        <v>0</v>
      </c>
      <c r="S41" s="29">
        <f>S46+S51+S56+S61+S66</f>
        <v>0</v>
      </c>
      <c r="T41" s="29">
        <f t="shared" si="134"/>
        <v>0</v>
      </c>
      <c r="U41" s="29">
        <f t="shared" si="135"/>
        <v>0</v>
      </c>
      <c r="V41" s="29">
        <f t="shared" si="135"/>
        <v>0</v>
      </c>
      <c r="W41" s="36">
        <f t="shared" si="109"/>
        <v>0</v>
      </c>
      <c r="X41" s="29">
        <f>X51+X56+X61+X66</f>
        <v>0</v>
      </c>
      <c r="Y41" s="29">
        <f>Y46+Y51+Y56+Y61+Y66</f>
        <v>0</v>
      </c>
      <c r="Z41" s="29">
        <f t="shared" si="136"/>
        <v>0</v>
      </c>
      <c r="AA41" s="29">
        <f t="shared" si="137"/>
        <v>0</v>
      </c>
      <c r="AB41" s="29">
        <f t="shared" si="137"/>
        <v>0</v>
      </c>
      <c r="AC41" s="36">
        <f t="shared" si="110"/>
        <v>0</v>
      </c>
      <c r="AD41" s="29">
        <f>AD51+AD56+AD61+AD66</f>
        <v>0</v>
      </c>
      <c r="AE41" s="32">
        <f>AE46+AE51+AE56+AE61+AE66</f>
        <v>0</v>
      </c>
      <c r="AF41" s="37">
        <f t="shared" si="138"/>
        <v>14</v>
      </c>
      <c r="AG41" s="38">
        <f t="shared" si="139"/>
        <v>2</v>
      </c>
      <c r="AH41" s="38">
        <f t="shared" si="139"/>
        <v>0</v>
      </c>
      <c r="AI41" s="39">
        <f t="shared" si="111"/>
        <v>0</v>
      </c>
      <c r="AJ41" s="29">
        <f>AJ51+AJ56+AJ61+AJ66</f>
        <v>12</v>
      </c>
      <c r="AK41" s="32">
        <f>AK46+AK51+AK56+AK61+AK66</f>
        <v>68.599999999999994</v>
      </c>
      <c r="AL41" s="37">
        <f t="shared" si="140"/>
        <v>0</v>
      </c>
      <c r="AM41" s="29">
        <f t="shared" si="141"/>
        <v>0</v>
      </c>
      <c r="AN41" s="29">
        <f t="shared" si="141"/>
        <v>0</v>
      </c>
      <c r="AO41" s="36">
        <f t="shared" si="112"/>
        <v>0</v>
      </c>
      <c r="AP41" s="29">
        <f>AP51+AP56+AP61+AP66</f>
        <v>0</v>
      </c>
      <c r="AQ41" s="29">
        <f>AQ46+AQ51+AQ56+AQ61+AQ66</f>
        <v>0</v>
      </c>
      <c r="AR41" s="29">
        <f t="shared" si="142"/>
        <v>3</v>
      </c>
      <c r="AS41" s="29">
        <f t="shared" si="143"/>
        <v>0</v>
      </c>
      <c r="AT41" s="29">
        <f t="shared" si="143"/>
        <v>0</v>
      </c>
      <c r="AU41" s="36">
        <f t="shared" si="113"/>
        <v>0</v>
      </c>
      <c r="AV41" s="29">
        <f>AV51+AV56+AV61+AV66</f>
        <v>3</v>
      </c>
      <c r="AW41" s="29">
        <f>AW46+AW51+AW56+AW61+AW66</f>
        <v>12</v>
      </c>
      <c r="AX41" s="29">
        <f t="shared" si="144"/>
        <v>11</v>
      </c>
      <c r="AY41" s="29">
        <f t="shared" si="145"/>
        <v>2</v>
      </c>
      <c r="AZ41" s="29">
        <f t="shared" si="145"/>
        <v>0</v>
      </c>
      <c r="BA41" s="36">
        <f t="shared" si="114"/>
        <v>0</v>
      </c>
      <c r="BB41" s="29">
        <f>BB51+BB56+BB61+BB66</f>
        <v>9</v>
      </c>
      <c r="BC41" s="32">
        <f>BC46+BC51+BC56+BC61+BC66</f>
        <v>56.599999999999994</v>
      </c>
      <c r="BD41" s="37">
        <f t="shared" si="146"/>
        <v>1</v>
      </c>
      <c r="BE41" s="40">
        <f t="shared" si="147"/>
        <v>1</v>
      </c>
      <c r="BF41" s="40">
        <f t="shared" si="147"/>
        <v>0</v>
      </c>
      <c r="BG41" s="41">
        <f t="shared" si="115"/>
        <v>0</v>
      </c>
      <c r="BH41" s="29">
        <f>BH51+BH56+BH61+BH66</f>
        <v>0</v>
      </c>
      <c r="BI41" s="32">
        <f>BI46+BI51+BI56+BI61+BI66</f>
        <v>7</v>
      </c>
      <c r="BJ41" s="37">
        <f t="shared" si="148"/>
        <v>0</v>
      </c>
      <c r="BK41" s="42">
        <f t="shared" si="149"/>
        <v>0</v>
      </c>
      <c r="BL41" s="42">
        <f t="shared" si="149"/>
        <v>0</v>
      </c>
      <c r="BM41" s="41">
        <f t="shared" si="116"/>
        <v>0</v>
      </c>
      <c r="BN41" s="29">
        <f>BN51+BN56+BN61+BN66</f>
        <v>0</v>
      </c>
      <c r="BO41" s="29">
        <f>BO46+BO51+BO56+BO61+BO66</f>
        <v>0</v>
      </c>
      <c r="BP41" s="29">
        <f t="shared" si="150"/>
        <v>0</v>
      </c>
      <c r="BQ41" s="29">
        <f t="shared" si="151"/>
        <v>0</v>
      </c>
      <c r="BR41" s="29">
        <f t="shared" si="151"/>
        <v>0</v>
      </c>
      <c r="BS41" s="36">
        <f t="shared" si="117"/>
        <v>0</v>
      </c>
      <c r="BT41" s="29">
        <f>BT51+BT56+BT61+BT66</f>
        <v>0</v>
      </c>
      <c r="BU41" s="29">
        <f>BU46+BU51+BU56+BU61+BU66</f>
        <v>0</v>
      </c>
      <c r="BV41" s="29">
        <f t="shared" si="152"/>
        <v>0</v>
      </c>
      <c r="BW41" s="29">
        <f t="shared" si="153"/>
        <v>0</v>
      </c>
      <c r="BX41" s="29">
        <f t="shared" si="153"/>
        <v>0</v>
      </c>
      <c r="BY41" s="36">
        <f t="shared" si="118"/>
        <v>0</v>
      </c>
      <c r="BZ41" s="29">
        <f>BZ51+BZ56+BZ61+BZ66</f>
        <v>0</v>
      </c>
      <c r="CA41" s="29">
        <f>CA46+CA51+CA56+CA61+CA66</f>
        <v>0</v>
      </c>
      <c r="CB41" s="29">
        <f t="shared" si="154"/>
        <v>0</v>
      </c>
      <c r="CC41" s="29">
        <f t="shared" si="155"/>
        <v>0</v>
      </c>
      <c r="CD41" s="29">
        <f t="shared" si="155"/>
        <v>0</v>
      </c>
      <c r="CE41" s="36">
        <f t="shared" si="119"/>
        <v>0</v>
      </c>
      <c r="CF41" s="29">
        <f>CF51+CF56+CF61+CF66</f>
        <v>0</v>
      </c>
      <c r="CG41" s="29">
        <f>CG46+CG51+CG56+CG61+CG66</f>
        <v>0</v>
      </c>
      <c r="CH41" s="30">
        <f t="shared" si="156"/>
        <v>1</v>
      </c>
      <c r="CI41" s="29">
        <f t="shared" si="157"/>
        <v>1</v>
      </c>
      <c r="CJ41" s="29">
        <f t="shared" si="157"/>
        <v>0</v>
      </c>
      <c r="CK41" s="36">
        <f t="shared" si="120"/>
        <v>0</v>
      </c>
      <c r="CL41" s="29">
        <f>CL51+CL56+CL61+CL66</f>
        <v>0</v>
      </c>
      <c r="CM41" s="29">
        <f>CM46+CM51+CM56+CM61+CM66</f>
        <v>7</v>
      </c>
      <c r="CN41" s="43">
        <f t="shared" si="158"/>
        <v>0</v>
      </c>
      <c r="CO41" s="29">
        <f t="shared" si="159"/>
        <v>0</v>
      </c>
      <c r="CP41" s="29">
        <f t="shared" si="159"/>
        <v>0</v>
      </c>
      <c r="CQ41" s="36">
        <f t="shared" si="121"/>
        <v>0</v>
      </c>
      <c r="CR41" s="29">
        <f>CR51+CR56+CR61+CR66</f>
        <v>0</v>
      </c>
      <c r="CS41" s="32">
        <f>CS46+CS51+CS56+CS61+CS66</f>
        <v>0</v>
      </c>
      <c r="CT41" s="44">
        <f t="shared" si="160"/>
        <v>0</v>
      </c>
      <c r="CU41" s="29">
        <f t="shared" si="161"/>
        <v>0</v>
      </c>
      <c r="CV41" s="29">
        <f t="shared" si="161"/>
        <v>0</v>
      </c>
      <c r="CW41" s="36">
        <f t="shared" si="122"/>
        <v>0</v>
      </c>
      <c r="CX41" s="29">
        <f>CX51+CX56+CX61+CX66</f>
        <v>0</v>
      </c>
      <c r="CY41" s="32">
        <f>CY46+CY51+CY56+CY61+CY66</f>
        <v>0</v>
      </c>
      <c r="DB41" s="46">
        <f t="shared" si="123"/>
        <v>14</v>
      </c>
      <c r="DC41" s="38">
        <f t="shared" si="162"/>
        <v>2</v>
      </c>
      <c r="DD41" s="38">
        <f t="shared" si="162"/>
        <v>0</v>
      </c>
      <c r="DE41" s="39">
        <f t="shared" si="163"/>
        <v>0</v>
      </c>
      <c r="DF41" s="47">
        <f t="shared" si="164"/>
        <v>12</v>
      </c>
      <c r="DG41" s="48">
        <f t="shared" si="164"/>
        <v>68.599999999999994</v>
      </c>
      <c r="DH41" s="49">
        <f t="shared" si="165"/>
        <v>0</v>
      </c>
      <c r="DI41" s="47">
        <f t="shared" si="165"/>
        <v>0</v>
      </c>
      <c r="DJ41" s="47">
        <f t="shared" si="165"/>
        <v>0</v>
      </c>
      <c r="DK41" s="50">
        <f t="shared" si="124"/>
        <v>0</v>
      </c>
      <c r="DL41" s="47">
        <f t="shared" si="166"/>
        <v>0</v>
      </c>
      <c r="DM41" s="48">
        <f t="shared" si="166"/>
        <v>0</v>
      </c>
      <c r="DN41" s="49">
        <f t="shared" si="166"/>
        <v>3</v>
      </c>
      <c r="DO41" s="47">
        <f t="shared" si="166"/>
        <v>0</v>
      </c>
      <c r="DP41" s="47">
        <f t="shared" si="166"/>
        <v>0</v>
      </c>
      <c r="DQ41" s="50">
        <f t="shared" si="125"/>
        <v>0</v>
      </c>
      <c r="DR41" s="47">
        <f t="shared" si="167"/>
        <v>3</v>
      </c>
      <c r="DS41" s="48">
        <f t="shared" si="167"/>
        <v>12</v>
      </c>
      <c r="DT41" s="49">
        <f t="shared" si="167"/>
        <v>11</v>
      </c>
      <c r="DU41" s="47">
        <f t="shared" si="167"/>
        <v>2</v>
      </c>
      <c r="DV41" s="47">
        <f t="shared" si="167"/>
        <v>0</v>
      </c>
      <c r="DW41" s="50">
        <f t="shared" si="126"/>
        <v>0</v>
      </c>
      <c r="DX41" s="47">
        <f t="shared" si="168"/>
        <v>9</v>
      </c>
      <c r="DY41" s="48">
        <f t="shared" si="168"/>
        <v>56.599999999999994</v>
      </c>
    </row>
    <row r="42" spans="1:129" s="45" customFormat="1" ht="15.75" customHeight="1" x14ac:dyDescent="0.25">
      <c r="A42" s="28" t="s">
        <v>171</v>
      </c>
      <c r="B42" s="29">
        <f t="shared" si="127"/>
        <v>12</v>
      </c>
      <c r="C42" s="30">
        <f t="shared" si="128"/>
        <v>1</v>
      </c>
      <c r="D42" s="30">
        <f t="shared" si="128"/>
        <v>0</v>
      </c>
      <c r="E42" s="31">
        <f t="shared" si="106"/>
        <v>0</v>
      </c>
      <c r="F42" s="29">
        <f t="shared" si="129"/>
        <v>11</v>
      </c>
      <c r="G42" s="32">
        <f t="shared" si="129"/>
        <v>53.099999999999994</v>
      </c>
      <c r="H42" s="33">
        <f>I42+L42</f>
        <v>2</v>
      </c>
      <c r="I42" s="34">
        <f>O42+U42+AA42</f>
        <v>1</v>
      </c>
      <c r="J42" s="34">
        <f>P42+V42+AB42</f>
        <v>0</v>
      </c>
      <c r="K42" s="35">
        <f t="shared" si="107"/>
        <v>0</v>
      </c>
      <c r="L42" s="29">
        <f>L52+L57+L62+L67</f>
        <v>1</v>
      </c>
      <c r="M42" s="32">
        <f>M47+M52+M57+M62+M67</f>
        <v>12.2</v>
      </c>
      <c r="N42" s="33">
        <f>O42+R42</f>
        <v>0</v>
      </c>
      <c r="O42" s="29">
        <f t="shared" si="133"/>
        <v>0</v>
      </c>
      <c r="P42" s="29">
        <f t="shared" si="133"/>
        <v>0</v>
      </c>
      <c r="Q42" s="36">
        <f t="shared" si="108"/>
        <v>0</v>
      </c>
      <c r="R42" s="29">
        <f>R52+R57+R62+R67</f>
        <v>0</v>
      </c>
      <c r="S42" s="29">
        <f>S47+S52+S57+S62+S67</f>
        <v>0</v>
      </c>
      <c r="T42" s="29">
        <f>U42+X42</f>
        <v>0</v>
      </c>
      <c r="U42" s="29">
        <f t="shared" si="135"/>
        <v>0</v>
      </c>
      <c r="V42" s="29">
        <f t="shared" si="135"/>
        <v>0</v>
      </c>
      <c r="W42" s="36">
        <f t="shared" si="109"/>
        <v>0</v>
      </c>
      <c r="X42" s="29">
        <f>X52+X57+X62+X67</f>
        <v>0</v>
      </c>
      <c r="Y42" s="29">
        <f>Y47+Y52+Y57+Y62+Y67</f>
        <v>0</v>
      </c>
      <c r="Z42" s="29">
        <f t="shared" si="136"/>
        <v>2</v>
      </c>
      <c r="AA42" s="29">
        <f t="shared" si="137"/>
        <v>1</v>
      </c>
      <c r="AB42" s="29">
        <f t="shared" si="137"/>
        <v>0</v>
      </c>
      <c r="AC42" s="36">
        <f t="shared" si="110"/>
        <v>0</v>
      </c>
      <c r="AD42" s="29">
        <f>AD52+AD57+AD62+AD67</f>
        <v>1</v>
      </c>
      <c r="AE42" s="32">
        <f>AE47+AE52+AE57+AE62+AE67</f>
        <v>12.2</v>
      </c>
      <c r="AF42" s="37">
        <f t="shared" si="138"/>
        <v>10</v>
      </c>
      <c r="AG42" s="38">
        <f>AM42+AS42+AY42</f>
        <v>0</v>
      </c>
      <c r="AH42" s="38">
        <f t="shared" si="139"/>
        <v>0</v>
      </c>
      <c r="AI42" s="39">
        <f t="shared" si="111"/>
        <v>0</v>
      </c>
      <c r="AJ42" s="29">
        <f>AJ52+AJ57+AJ62+AJ67</f>
        <v>10</v>
      </c>
      <c r="AK42" s="32">
        <f>AK47+AK52+AK57+AK62+AK67</f>
        <v>40.9</v>
      </c>
      <c r="AL42" s="37">
        <f t="shared" si="140"/>
        <v>0</v>
      </c>
      <c r="AM42" s="29">
        <f t="shared" si="141"/>
        <v>0</v>
      </c>
      <c r="AN42" s="29">
        <f t="shared" si="141"/>
        <v>0</v>
      </c>
      <c r="AO42" s="36">
        <f t="shared" si="112"/>
        <v>0</v>
      </c>
      <c r="AP42" s="29">
        <f>AP52+AP57+AP62+AP67</f>
        <v>0</v>
      </c>
      <c r="AQ42" s="29">
        <f>AQ47+AQ52+AQ57+AQ62+AQ67</f>
        <v>0</v>
      </c>
      <c r="AR42" s="29">
        <f t="shared" si="142"/>
        <v>8</v>
      </c>
      <c r="AS42" s="29">
        <f t="shared" si="143"/>
        <v>0</v>
      </c>
      <c r="AT42" s="29">
        <f t="shared" si="143"/>
        <v>0</v>
      </c>
      <c r="AU42" s="36">
        <f t="shared" si="113"/>
        <v>0</v>
      </c>
      <c r="AV42" s="29">
        <f>AV52+AV57+AV62+AV67</f>
        <v>8</v>
      </c>
      <c r="AW42" s="29">
        <f>AW47+AW52+AW57+AW62+AW67</f>
        <v>29</v>
      </c>
      <c r="AX42" s="29">
        <f t="shared" si="144"/>
        <v>2</v>
      </c>
      <c r="AY42" s="29">
        <f t="shared" si="145"/>
        <v>0</v>
      </c>
      <c r="AZ42" s="29">
        <f t="shared" si="145"/>
        <v>0</v>
      </c>
      <c r="BA42" s="36">
        <f t="shared" si="114"/>
        <v>0</v>
      </c>
      <c r="BB42" s="29">
        <f>BB52+BB57+BB62+BB67</f>
        <v>2</v>
      </c>
      <c r="BC42" s="32">
        <f>BC47+BC52+BC57+BC62+BC67</f>
        <v>11.9</v>
      </c>
      <c r="BD42" s="37">
        <f>BE42+BH42</f>
        <v>0</v>
      </c>
      <c r="BE42" s="40">
        <f>BK42+CI42+CO42</f>
        <v>0</v>
      </c>
      <c r="BF42" s="40">
        <f>BL42+CJ42+CP42</f>
        <v>0</v>
      </c>
      <c r="BG42" s="41">
        <f t="shared" si="115"/>
        <v>0</v>
      </c>
      <c r="BH42" s="29">
        <f>BH52+BH57+BH62+BH67</f>
        <v>0</v>
      </c>
      <c r="BI42" s="32">
        <f>BI47+BI52+BI57+BI62+BI67</f>
        <v>0</v>
      </c>
      <c r="BJ42" s="37">
        <f>BK42+BN42</f>
        <v>0</v>
      </c>
      <c r="BK42" s="42">
        <f>BQ42+BW42+CC42</f>
        <v>0</v>
      </c>
      <c r="BL42" s="42">
        <f t="shared" si="149"/>
        <v>0</v>
      </c>
      <c r="BM42" s="41">
        <f t="shared" si="116"/>
        <v>0</v>
      </c>
      <c r="BN42" s="29">
        <f>BN52+BN57+BN62+BN67</f>
        <v>0</v>
      </c>
      <c r="BO42" s="29">
        <f>BO47+BO52+BO57+BO62+BO67</f>
        <v>0</v>
      </c>
      <c r="BP42" s="29">
        <f t="shared" si="150"/>
        <v>0</v>
      </c>
      <c r="BQ42" s="29">
        <f t="shared" si="151"/>
        <v>0</v>
      </c>
      <c r="BR42" s="29">
        <f t="shared" si="151"/>
        <v>0</v>
      </c>
      <c r="BS42" s="36">
        <f t="shared" si="117"/>
        <v>0</v>
      </c>
      <c r="BT42" s="29">
        <f>BT52+BT57+BT62+BT67</f>
        <v>0</v>
      </c>
      <c r="BU42" s="29">
        <f>BU47+BU52+BU57+BU62+BU67</f>
        <v>0</v>
      </c>
      <c r="BV42" s="29">
        <f t="shared" si="152"/>
        <v>0</v>
      </c>
      <c r="BW42" s="29">
        <f t="shared" si="153"/>
        <v>0</v>
      </c>
      <c r="BX42" s="29">
        <f t="shared" si="153"/>
        <v>0</v>
      </c>
      <c r="BY42" s="36">
        <f t="shared" si="118"/>
        <v>0</v>
      </c>
      <c r="BZ42" s="29">
        <f>BZ52+BZ57+BZ62+BZ67</f>
        <v>0</v>
      </c>
      <c r="CA42" s="29">
        <f>CA47+CA52+CA57+CA62+CA67</f>
        <v>0</v>
      </c>
      <c r="CB42" s="29">
        <f t="shared" si="154"/>
        <v>0</v>
      </c>
      <c r="CC42" s="29">
        <f t="shared" si="155"/>
        <v>0</v>
      </c>
      <c r="CD42" s="29">
        <f t="shared" si="155"/>
        <v>0</v>
      </c>
      <c r="CE42" s="36">
        <f t="shared" si="119"/>
        <v>0</v>
      </c>
      <c r="CF42" s="29">
        <f>CF52+CF57+CF62+CF67</f>
        <v>0</v>
      </c>
      <c r="CG42" s="29">
        <f>CG47+CG52+CG57+CG62+CG67</f>
        <v>0</v>
      </c>
      <c r="CH42" s="30">
        <f>CI42+CL42</f>
        <v>0</v>
      </c>
      <c r="CI42" s="29">
        <f t="shared" si="157"/>
        <v>0</v>
      </c>
      <c r="CJ42" s="29">
        <f t="shared" si="157"/>
        <v>0</v>
      </c>
      <c r="CK42" s="36">
        <f t="shared" si="120"/>
        <v>0</v>
      </c>
      <c r="CL42" s="29">
        <f>CL52+CL57+CL62+CL67</f>
        <v>0</v>
      </c>
      <c r="CM42" s="29">
        <f>CM47+CM52+CM57+CM62+CM67</f>
        <v>0</v>
      </c>
      <c r="CN42" s="43">
        <f>CO42+CR42</f>
        <v>0</v>
      </c>
      <c r="CO42" s="29">
        <f t="shared" si="159"/>
        <v>0</v>
      </c>
      <c r="CP42" s="29">
        <f t="shared" si="159"/>
        <v>0</v>
      </c>
      <c r="CQ42" s="36">
        <f t="shared" si="121"/>
        <v>0</v>
      </c>
      <c r="CR42" s="29">
        <f>CR52+CR57+CR62+CR67</f>
        <v>0</v>
      </c>
      <c r="CS42" s="32">
        <f>CS47+CS52+CS57+CS62+CS67</f>
        <v>0</v>
      </c>
      <c r="CT42" s="44">
        <f t="shared" si="160"/>
        <v>0</v>
      </c>
      <c r="CU42" s="29">
        <f t="shared" si="161"/>
        <v>0</v>
      </c>
      <c r="CV42" s="29">
        <f t="shared" si="161"/>
        <v>0</v>
      </c>
      <c r="CW42" s="36">
        <f t="shared" si="122"/>
        <v>0</v>
      </c>
      <c r="CX42" s="29">
        <f>CX52+CX57+CX62+CX67</f>
        <v>0</v>
      </c>
      <c r="CY42" s="32">
        <f>CY47+CY52+CY57+CY62+CY67</f>
        <v>0</v>
      </c>
      <c r="DB42" s="46">
        <f t="shared" si="123"/>
        <v>10</v>
      </c>
      <c r="DC42" s="38">
        <f>DI42+DO42+DU42</f>
        <v>0</v>
      </c>
      <c r="DD42" s="38">
        <f t="shared" si="162"/>
        <v>0</v>
      </c>
      <c r="DE42" s="39">
        <f t="shared" si="163"/>
        <v>0</v>
      </c>
      <c r="DF42" s="47">
        <f>DL42+DR42+DX42</f>
        <v>10</v>
      </c>
      <c r="DG42" s="48">
        <f t="shared" si="164"/>
        <v>40.9</v>
      </c>
      <c r="DH42" s="49">
        <f>AL42+BP42</f>
        <v>0</v>
      </c>
      <c r="DI42" s="47">
        <f t="shared" si="165"/>
        <v>0</v>
      </c>
      <c r="DJ42" s="47">
        <f t="shared" si="165"/>
        <v>0</v>
      </c>
      <c r="DK42" s="50">
        <f t="shared" si="124"/>
        <v>0</v>
      </c>
      <c r="DL42" s="47">
        <f t="shared" si="166"/>
        <v>0</v>
      </c>
      <c r="DM42" s="48">
        <f t="shared" si="166"/>
        <v>0</v>
      </c>
      <c r="DN42" s="49">
        <f t="shared" si="166"/>
        <v>8</v>
      </c>
      <c r="DO42" s="47">
        <f t="shared" si="166"/>
        <v>0</v>
      </c>
      <c r="DP42" s="47">
        <f t="shared" si="166"/>
        <v>0</v>
      </c>
      <c r="DQ42" s="50">
        <f t="shared" si="125"/>
        <v>0</v>
      </c>
      <c r="DR42" s="47">
        <f t="shared" si="167"/>
        <v>8</v>
      </c>
      <c r="DS42" s="48">
        <f t="shared" si="167"/>
        <v>29</v>
      </c>
      <c r="DT42" s="49">
        <f t="shared" si="167"/>
        <v>2</v>
      </c>
      <c r="DU42" s="47">
        <f t="shared" si="167"/>
        <v>0</v>
      </c>
      <c r="DV42" s="47">
        <f t="shared" si="167"/>
        <v>0</v>
      </c>
      <c r="DW42" s="50">
        <f t="shared" si="126"/>
        <v>0</v>
      </c>
      <c r="DX42" s="47">
        <f t="shared" si="168"/>
        <v>2</v>
      </c>
      <c r="DY42" s="48">
        <f t="shared" si="168"/>
        <v>11.9</v>
      </c>
    </row>
    <row r="43" spans="1:129" s="45" customFormat="1" ht="33.75" customHeight="1" x14ac:dyDescent="0.25">
      <c r="A43" s="51" t="s">
        <v>235</v>
      </c>
      <c r="B43" s="42">
        <f t="shared" si="127"/>
        <v>14</v>
      </c>
      <c r="C43" s="30">
        <f t="shared" si="128"/>
        <v>14</v>
      </c>
      <c r="D43" s="30">
        <f t="shared" si="128"/>
        <v>0</v>
      </c>
      <c r="E43" s="31">
        <f t="shared" si="106"/>
        <v>0</v>
      </c>
      <c r="F43" s="42">
        <f t="shared" si="129"/>
        <v>0</v>
      </c>
      <c r="G43" s="52">
        <f t="shared" si="129"/>
        <v>80.599999999999994</v>
      </c>
      <c r="H43" s="53">
        <f t="shared" ref="H43:H67" si="169">I43+L43</f>
        <v>3</v>
      </c>
      <c r="I43" s="34">
        <f t="shared" ref="I43:J47" si="170">O43+U43+AA43</f>
        <v>3</v>
      </c>
      <c r="J43" s="34">
        <f t="shared" si="170"/>
        <v>0</v>
      </c>
      <c r="K43" s="35">
        <f t="shared" si="107"/>
        <v>0</v>
      </c>
      <c r="L43" s="42">
        <f t="shared" ref="L43:M67" si="171">R43+X43+AD43</f>
        <v>0</v>
      </c>
      <c r="M43" s="52">
        <f t="shared" si="171"/>
        <v>31.3</v>
      </c>
      <c r="N43" s="53">
        <f t="shared" ref="N43:N67" si="172">O43+R43</f>
        <v>0</v>
      </c>
      <c r="O43" s="54">
        <f>SUM(O44:O47)</f>
        <v>0</v>
      </c>
      <c r="P43" s="54">
        <f>SUM(P44:P47)</f>
        <v>0</v>
      </c>
      <c r="Q43" s="41">
        <f t="shared" si="108"/>
        <v>0</v>
      </c>
      <c r="R43" s="54">
        <f>SUM(R44:R47)</f>
        <v>0</v>
      </c>
      <c r="S43" s="54">
        <f>SUM(S44:S47)</f>
        <v>0</v>
      </c>
      <c r="T43" s="42">
        <f t="shared" ref="T43:T67" si="173">U43+X43</f>
        <v>0</v>
      </c>
      <c r="U43" s="54">
        <f>SUM(U44:U47)</f>
        <v>0</v>
      </c>
      <c r="V43" s="54">
        <f>SUM(V44:V47)</f>
        <v>0</v>
      </c>
      <c r="W43" s="41">
        <f t="shared" si="109"/>
        <v>0</v>
      </c>
      <c r="X43" s="54">
        <f>SUM(X44:X47)</f>
        <v>0</v>
      </c>
      <c r="Y43" s="54">
        <f>SUM(Y44:Y47)</f>
        <v>0</v>
      </c>
      <c r="Z43" s="42">
        <f t="shared" si="136"/>
        <v>3</v>
      </c>
      <c r="AA43" s="54">
        <f>SUM(AA44:AA47)</f>
        <v>3</v>
      </c>
      <c r="AB43" s="54">
        <f>SUM(AB44:AB47)</f>
        <v>0</v>
      </c>
      <c r="AC43" s="41">
        <f t="shared" si="110"/>
        <v>0</v>
      </c>
      <c r="AD43" s="54">
        <f>SUM(AD44:AD47)</f>
        <v>0</v>
      </c>
      <c r="AE43" s="55">
        <f>SUM(AE44:AE47)</f>
        <v>31.3</v>
      </c>
      <c r="AF43" s="56">
        <f t="shared" si="138"/>
        <v>7</v>
      </c>
      <c r="AG43" s="38">
        <f t="shared" ref="AG43:AG47" si="174">AM43+AS43+AY43</f>
        <v>7</v>
      </c>
      <c r="AH43" s="38">
        <f t="shared" si="139"/>
        <v>0</v>
      </c>
      <c r="AI43" s="39">
        <f t="shared" si="111"/>
        <v>0</v>
      </c>
      <c r="AJ43" s="42">
        <f t="shared" ref="AJ43:AK58" si="175">AP43+AV43+BB43</f>
        <v>0</v>
      </c>
      <c r="AK43" s="52">
        <f t="shared" si="175"/>
        <v>36.299999999999997</v>
      </c>
      <c r="AL43" s="56">
        <f t="shared" si="140"/>
        <v>0</v>
      </c>
      <c r="AM43" s="54">
        <f>SUM(AM44:AM47)</f>
        <v>0</v>
      </c>
      <c r="AN43" s="54">
        <f>SUM(AN44:AN47)</f>
        <v>0</v>
      </c>
      <c r="AO43" s="41">
        <f t="shared" si="112"/>
        <v>0</v>
      </c>
      <c r="AP43" s="54">
        <f>SUM(AP44:AP47)</f>
        <v>0</v>
      </c>
      <c r="AQ43" s="54">
        <f>SUM(AQ44:AQ47)</f>
        <v>0</v>
      </c>
      <c r="AR43" s="42">
        <f t="shared" si="142"/>
        <v>0</v>
      </c>
      <c r="AS43" s="54">
        <f>SUM(AS44:AS47)</f>
        <v>0</v>
      </c>
      <c r="AT43" s="54">
        <f>SUM(AT44:AT47)</f>
        <v>0</v>
      </c>
      <c r="AU43" s="41">
        <f t="shared" si="113"/>
        <v>0</v>
      </c>
      <c r="AV43" s="54">
        <f>SUM(AV44:AV47)</f>
        <v>0</v>
      </c>
      <c r="AW43" s="54">
        <f>SUM(AW44:AW47)</f>
        <v>0</v>
      </c>
      <c r="AX43" s="42">
        <f t="shared" si="144"/>
        <v>7</v>
      </c>
      <c r="AY43" s="54">
        <f>SUM(AY44:AY47)</f>
        <v>7</v>
      </c>
      <c r="AZ43" s="54">
        <f>SUM(AZ44:AZ47)</f>
        <v>0</v>
      </c>
      <c r="BA43" s="41">
        <f t="shared" si="114"/>
        <v>0</v>
      </c>
      <c r="BB43" s="54">
        <f>SUM(BB44:BB47)</f>
        <v>0</v>
      </c>
      <c r="BC43" s="55">
        <f>SUM(BC44:BC47)</f>
        <v>36.299999999999997</v>
      </c>
      <c r="BD43" s="57">
        <f t="shared" ref="BD43:BD67" si="176">BE43+BH43</f>
        <v>4</v>
      </c>
      <c r="BE43" s="58">
        <f t="shared" ref="BE43:BF67" si="177">BK43+CI43+CO43</f>
        <v>4</v>
      </c>
      <c r="BF43" s="58">
        <f t="shared" si="177"/>
        <v>0</v>
      </c>
      <c r="BG43" s="59">
        <f t="shared" si="115"/>
        <v>0</v>
      </c>
      <c r="BH43" s="54">
        <f>BN43+CL43+CR43</f>
        <v>0</v>
      </c>
      <c r="BI43" s="55">
        <f>BO43+CM43+CS43</f>
        <v>13</v>
      </c>
      <c r="BJ43" s="57">
        <f t="shared" ref="BJ43:BJ67" si="178">BK43+BN43</f>
        <v>0</v>
      </c>
      <c r="BK43" s="54">
        <f t="shared" ref="BK43:BK47" si="179">BQ43+BW43+CC43</f>
        <v>0</v>
      </c>
      <c r="BL43" s="54">
        <f t="shared" si="149"/>
        <v>0</v>
      </c>
      <c r="BM43" s="59">
        <f t="shared" si="116"/>
        <v>0</v>
      </c>
      <c r="BN43" s="54">
        <f t="shared" ref="BN43:BO58" si="180">BT43+BZ43+CF43</f>
        <v>0</v>
      </c>
      <c r="BO43" s="54">
        <f t="shared" si="180"/>
        <v>0</v>
      </c>
      <c r="BP43" s="54">
        <f t="shared" si="150"/>
        <v>0</v>
      </c>
      <c r="BQ43" s="54">
        <f>SUM(BQ44:BQ47)</f>
        <v>0</v>
      </c>
      <c r="BR43" s="54">
        <f>SUM(BR44:BR47)</f>
        <v>0</v>
      </c>
      <c r="BS43" s="59">
        <f t="shared" si="117"/>
        <v>0</v>
      </c>
      <c r="BT43" s="54">
        <f>SUM(BT44:BT47)</f>
        <v>0</v>
      </c>
      <c r="BU43" s="54">
        <f>SUM(BU44:BU47)</f>
        <v>0</v>
      </c>
      <c r="BV43" s="54">
        <f t="shared" si="152"/>
        <v>0</v>
      </c>
      <c r="BW43" s="54">
        <f>SUM(BW44:BW47)</f>
        <v>0</v>
      </c>
      <c r="BX43" s="54">
        <f>SUM(BX44:BX47)</f>
        <v>0</v>
      </c>
      <c r="BY43" s="41">
        <f t="shared" si="118"/>
        <v>0</v>
      </c>
      <c r="BZ43" s="54">
        <f>SUM(BZ44:BZ47)</f>
        <v>0</v>
      </c>
      <c r="CA43" s="54">
        <f>SUM(CA44:CA47)</f>
        <v>0</v>
      </c>
      <c r="CB43" s="42">
        <f t="shared" si="154"/>
        <v>0</v>
      </c>
      <c r="CC43" s="54">
        <f>SUM(CC44:CC47)</f>
        <v>0</v>
      </c>
      <c r="CD43" s="54">
        <f>SUM(CD44:CD47)</f>
        <v>0</v>
      </c>
      <c r="CE43" s="41">
        <f t="shared" si="119"/>
        <v>0</v>
      </c>
      <c r="CF43" s="54">
        <f>SUM(CF44:CF47)</f>
        <v>0</v>
      </c>
      <c r="CG43" s="54">
        <f>SUM(CG44:CG47)</f>
        <v>0</v>
      </c>
      <c r="CH43" s="30">
        <f t="shared" ref="CH43:CH67" si="181">CI43+CL43</f>
        <v>4</v>
      </c>
      <c r="CI43" s="54">
        <f>SUM(CI44:CI47)</f>
        <v>4</v>
      </c>
      <c r="CJ43" s="54">
        <f>SUM(CJ44:CJ47)</f>
        <v>0</v>
      </c>
      <c r="CK43" s="41">
        <f t="shared" si="120"/>
        <v>0</v>
      </c>
      <c r="CL43" s="54">
        <f>SUM(CL44:CL47)</f>
        <v>0</v>
      </c>
      <c r="CM43" s="54">
        <f>SUM(CM44:CM47)</f>
        <v>13</v>
      </c>
      <c r="CN43" s="43">
        <f t="shared" ref="CN43:CN67" si="182">CO43+CR43</f>
        <v>0</v>
      </c>
      <c r="CO43" s="54">
        <f>SUM(CO44:CO47)</f>
        <v>0</v>
      </c>
      <c r="CP43" s="54">
        <f>SUM(CP44:CP47)</f>
        <v>0</v>
      </c>
      <c r="CQ43" s="41">
        <f t="shared" si="121"/>
        <v>0</v>
      </c>
      <c r="CR43" s="54">
        <f>SUM(CR44:CR47)</f>
        <v>0</v>
      </c>
      <c r="CS43" s="55">
        <f>SUM(CS44:CS47)</f>
        <v>0</v>
      </c>
      <c r="CT43" s="44">
        <f t="shared" si="160"/>
        <v>0</v>
      </c>
      <c r="CU43" s="54">
        <f>SUM(CU44:CU47)</f>
        <v>0</v>
      </c>
      <c r="CV43" s="54">
        <f>SUM(CV44:CV47)</f>
        <v>0</v>
      </c>
      <c r="CW43" s="41">
        <f t="shared" si="122"/>
        <v>0</v>
      </c>
      <c r="CX43" s="54">
        <f>SUM(CX44:CX47)</f>
        <v>0</v>
      </c>
      <c r="CY43" s="55">
        <f>SUM(CY44:CY47)</f>
        <v>0</v>
      </c>
      <c r="DB43" s="60">
        <f t="shared" si="123"/>
        <v>7</v>
      </c>
      <c r="DC43" s="61">
        <f>SUM(DC44:DC47)</f>
        <v>7</v>
      </c>
      <c r="DD43" s="61">
        <f>SUM(DD44:DD47)</f>
        <v>0</v>
      </c>
      <c r="DE43" s="62">
        <f>IFERROR(DD43/DC43*100,0)</f>
        <v>0</v>
      </c>
      <c r="DF43" s="63">
        <f>SUM(DF44:DF47)</f>
        <v>0</v>
      </c>
      <c r="DG43" s="64">
        <f>SUM(DG44:DG47)</f>
        <v>36.299999999999997</v>
      </c>
      <c r="DH43" s="65">
        <f>DI43+DL43</f>
        <v>0</v>
      </c>
      <c r="DI43" s="63">
        <f>SUM(DI44:DI47)</f>
        <v>0</v>
      </c>
      <c r="DJ43" s="63">
        <f>SUM(DJ44:DJ47)</f>
        <v>0</v>
      </c>
      <c r="DK43" s="66">
        <f t="shared" si="124"/>
        <v>0</v>
      </c>
      <c r="DL43" s="63"/>
      <c r="DM43" s="64">
        <f>SUM(DM44:DM47)</f>
        <v>0</v>
      </c>
      <c r="DN43" s="65">
        <f>DO43+DR43</f>
        <v>0</v>
      </c>
      <c r="DO43" s="63">
        <f>SUM(DO44:DO47)</f>
        <v>0</v>
      </c>
      <c r="DP43" s="63">
        <f>SUM(DP44:DP47)</f>
        <v>0</v>
      </c>
      <c r="DQ43" s="66">
        <f t="shared" si="125"/>
        <v>0</v>
      </c>
      <c r="DR43" s="63"/>
      <c r="DS43" s="64">
        <f>SUM(DS44:DS47)</f>
        <v>0</v>
      </c>
      <c r="DT43" s="65">
        <f>DU43+DX43</f>
        <v>7</v>
      </c>
      <c r="DU43" s="63">
        <f>SUM(DU44:DU47)</f>
        <v>7</v>
      </c>
      <c r="DV43" s="63">
        <f>SUM(DV44:DV47)</f>
        <v>0</v>
      </c>
      <c r="DW43" s="66">
        <f t="shared" si="126"/>
        <v>0</v>
      </c>
      <c r="DX43" s="63"/>
      <c r="DY43" s="64">
        <f>SUM(DY44:DY47)</f>
        <v>36.299999999999997</v>
      </c>
    </row>
    <row r="44" spans="1:129" s="45" customFormat="1" ht="15.75" customHeight="1" x14ac:dyDescent="0.25">
      <c r="A44" s="28" t="s">
        <v>172</v>
      </c>
      <c r="B44" s="29">
        <f t="shared" si="127"/>
        <v>2</v>
      </c>
      <c r="C44" s="30">
        <f t="shared" si="128"/>
        <v>2</v>
      </c>
      <c r="D44" s="30">
        <f t="shared" si="128"/>
        <v>0</v>
      </c>
      <c r="E44" s="31">
        <f t="shared" si="106"/>
        <v>0</v>
      </c>
      <c r="F44" s="29">
        <f t="shared" si="129"/>
        <v>0</v>
      </c>
      <c r="G44" s="32">
        <f t="shared" si="129"/>
        <v>3</v>
      </c>
      <c r="H44" s="33">
        <f t="shared" si="169"/>
        <v>0</v>
      </c>
      <c r="I44" s="34">
        <f t="shared" si="170"/>
        <v>0</v>
      </c>
      <c r="J44" s="34">
        <f t="shared" si="170"/>
        <v>0</v>
      </c>
      <c r="K44" s="35">
        <f t="shared" si="107"/>
        <v>0</v>
      </c>
      <c r="L44" s="29">
        <f t="shared" si="171"/>
        <v>0</v>
      </c>
      <c r="M44" s="32">
        <f t="shared" si="171"/>
        <v>0</v>
      </c>
      <c r="N44" s="33">
        <f t="shared" si="172"/>
        <v>0</v>
      </c>
      <c r="O44" s="29">
        <f>SUMIFS('2026'!$B$8:$B$185,'2026'!$K$8:$K$185,"2026",'2026'!$J$8:$J$185,"&lt;3",'2026'!$R$8:$R$185,"республика")</f>
        <v>0</v>
      </c>
      <c r="P44" s="29">
        <f>SUMIFS('2026'!$B$8:$B$185,'2026'!$K$8:$K$185,"2026",'2026'!$J$8:$J$185,"&lt;3",'2026'!$R$8:$R$185,"республика",'2026'!$Q$8:$Q$185,"снесен")</f>
        <v>0</v>
      </c>
      <c r="Q44" s="36">
        <f t="shared" si="108"/>
        <v>0</v>
      </c>
      <c r="R44" s="29"/>
      <c r="S44" s="29">
        <f>SUMIFS('2026'!$N$8:$N$185,'2026'!$K$8:$K$185,"2026",'2026'!$J$8:$J$185,"&lt;3",'2026'!$R$8:$R$185,"республика")</f>
        <v>0</v>
      </c>
      <c r="T44" s="29">
        <f t="shared" si="173"/>
        <v>0</v>
      </c>
      <c r="U44" s="29">
        <f>SUMIFS('2026'!$B$8:$B$185,'2026'!$K$8:$K$185,"2026",'2026'!$J$8:$J$185,"&lt;3",'2026'!$R$8:$R$185,"область")</f>
        <v>0</v>
      </c>
      <c r="V44" s="29">
        <f>SUMIFS('2026'!$B$8:$B$185,'2026'!$K$8:$K$185,"2026",'2026'!$J$8:$J$185,"&lt;3",'2026'!$R$8:$R$185,"область",'2026'!$Q$8:$Q$185,"снесен")</f>
        <v>0</v>
      </c>
      <c r="W44" s="36">
        <f t="shared" si="109"/>
        <v>0</v>
      </c>
      <c r="X44" s="29"/>
      <c r="Y44" s="29">
        <f>SUMIFS('2026'!$N$8:$N$185,'2026'!$K$8:$K$185,"2026",'2026'!$J$8:$J$185,"&lt;3",'2026'!$R$8:$R$185,"область")</f>
        <v>0</v>
      </c>
      <c r="Z44" s="29">
        <f t="shared" si="136"/>
        <v>0</v>
      </c>
      <c r="AA44" s="29">
        <f>SUMIFS('2026'!$B$8:$B$185,'2026'!$K$8:$K$185,"2026",'2026'!$J$8:$J$185,"&lt;3",'2026'!$R$8:$R$185,"район")</f>
        <v>0</v>
      </c>
      <c r="AB44" s="29">
        <f>SUMIFS('2026'!$B$8:$B$185,'2026'!$K$8:$K$185,"2026",'2026'!$J$8:$J$185,"&lt;3",'2026'!$R$8:$R$185,"район",'2026'!$Q$8:$Q$185,"снесен")</f>
        <v>0</v>
      </c>
      <c r="AC44" s="36">
        <f t="shared" si="110"/>
        <v>0</v>
      </c>
      <c r="AD44" s="29"/>
      <c r="AE44" s="32">
        <f>SUMIFS('2026'!$N$8:$N$185,'2026'!$K$8:$K$185,"2026",'2026'!$J$8:$J$185,"&lt;3",'2026'!$R$8:$R$185,"район")</f>
        <v>0</v>
      </c>
      <c r="AF44" s="37">
        <f t="shared" si="138"/>
        <v>0</v>
      </c>
      <c r="AG44" s="38">
        <f t="shared" si="174"/>
        <v>0</v>
      </c>
      <c r="AH44" s="38">
        <f t="shared" si="139"/>
        <v>0</v>
      </c>
      <c r="AI44" s="39">
        <f t="shared" si="111"/>
        <v>0</v>
      </c>
      <c r="AJ44" s="29">
        <f t="shared" si="175"/>
        <v>0</v>
      </c>
      <c r="AK44" s="32">
        <f t="shared" si="175"/>
        <v>0</v>
      </c>
      <c r="AL44" s="37">
        <f t="shared" si="140"/>
        <v>0</v>
      </c>
      <c r="AM44" s="29">
        <f>SUMIFS('2026'!$B$8:$B$185,'2026'!$K$8:$K$185,"2026",'2026'!$J$8:$J$185,"&lt;3",'2026'!$R$8:$R$185,"республика50б")</f>
        <v>0</v>
      </c>
      <c r="AN44" s="29">
        <f>SUMIFS('2026'!$B$8:$B$185,'2026'!$K$8:$K$185,"2026",'2026'!$J$8:$J$185,"&lt;3",'2026'!$R$8:$R$185,"республика50б",'2026'!$Q$8:$Q$185,"снесен")</f>
        <v>0</v>
      </c>
      <c r="AO44" s="36">
        <f t="shared" si="112"/>
        <v>0</v>
      </c>
      <c r="AP44" s="29"/>
      <c r="AQ44" s="29">
        <f>SUMIFS('2026'!$N$8:$N$185,'2026'!$K$8:$K$185,"2026",'2026'!$J$8:$J$185,"&lt;3",'2026'!$R$8:$R$185,"республика50б")</f>
        <v>0</v>
      </c>
      <c r="AR44" s="29">
        <f t="shared" si="142"/>
        <v>0</v>
      </c>
      <c r="AS44" s="29">
        <f>SUMIFS('2026'!$B$8:$B$185,'2026'!$K$8:$K$185,"2026",'2026'!$J$8:$J$185,"&lt;3",'2026'!$R$8:$R$185,"область50б")</f>
        <v>0</v>
      </c>
      <c r="AT44" s="29">
        <f>SUMIFS('2026'!$B$8:$B$185,'2026'!$K$8:$K$185,"2026",'2026'!$J$8:$J$185,"&lt;3",'2026'!$R$8:$R$185,"область50б",'2026'!$Q$8:$Q$185,"снесен")</f>
        <v>0</v>
      </c>
      <c r="AU44" s="36">
        <f t="shared" si="113"/>
        <v>0</v>
      </c>
      <c r="AV44" s="29"/>
      <c r="AW44" s="29">
        <f>SUMIFS('2026'!$N$8:$N$185,'2026'!$K$8:$K$185,"2026",'2026'!$J$8:$J$185,"&lt;3",'2026'!$R$8:$R$185,"область50б")</f>
        <v>0</v>
      </c>
      <c r="AX44" s="29">
        <f t="shared" si="144"/>
        <v>0</v>
      </c>
      <c r="AY44" s="29">
        <f>SUMIFS('2026'!$B$8:$B$185,'2026'!$K$8:$K$185,"2026",'2026'!$J$8:$J$185,"&lt;3",'2026'!$R$8:$R$185,"район50б")</f>
        <v>0</v>
      </c>
      <c r="AZ44" s="29">
        <f>SUMIFS('2026'!$B$8:$B$185,'2026'!$K$8:$K$185,"2026",'2026'!$J$8:$J$185,"&lt;3",'2026'!$R$8:$R$185,"район50б",'2026'!$Q$8:$Q$185,"снесен")</f>
        <v>0</v>
      </c>
      <c r="BA44" s="36">
        <f t="shared" si="114"/>
        <v>0</v>
      </c>
      <c r="BB44" s="29"/>
      <c r="BC44" s="32">
        <f>SUMIFS('2026'!$N$8:$N$185,'2026'!$K$8:$K$185,"2026",'2026'!$J$8:$J$185,"&lt;3",'2026'!$R$8:$R$185,"район50б")</f>
        <v>0</v>
      </c>
      <c r="BD44" s="37">
        <f t="shared" si="176"/>
        <v>2</v>
      </c>
      <c r="BE44" s="40">
        <f t="shared" si="177"/>
        <v>2</v>
      </c>
      <c r="BF44" s="40">
        <f t="shared" si="177"/>
        <v>0</v>
      </c>
      <c r="BG44" s="41">
        <f t="shared" si="115"/>
        <v>0</v>
      </c>
      <c r="BH44" s="29"/>
      <c r="BI44" s="32">
        <f t="shared" ref="BI44:BI67" si="183">BO44+CM44+CS44</f>
        <v>3</v>
      </c>
      <c r="BJ44" s="37">
        <f t="shared" si="178"/>
        <v>0</v>
      </c>
      <c r="BK44" s="42">
        <f t="shared" si="179"/>
        <v>0</v>
      </c>
      <c r="BL44" s="42">
        <f t="shared" si="149"/>
        <v>0</v>
      </c>
      <c r="BM44" s="41">
        <f t="shared" si="116"/>
        <v>0</v>
      </c>
      <c r="BN44" s="29">
        <f t="shared" si="180"/>
        <v>0</v>
      </c>
      <c r="BO44" s="29">
        <f t="shared" si="180"/>
        <v>0</v>
      </c>
      <c r="BP44" s="29">
        <f t="shared" si="150"/>
        <v>0</v>
      </c>
      <c r="BQ44" s="29">
        <f>SUMIFS('2026'!$B$8:$B$185,'2026'!$K$8:$K$185,"2026",'2026'!$J$8:$J$185,"&lt;3",'2026'!$R$8:$R$185,"республика50м")</f>
        <v>0</v>
      </c>
      <c r="BR44" s="29">
        <f>SUMIFS('2026'!$B$8:$B$185,'2026'!$K$8:$K$185,"2026",'2026'!$J$8:$J$185,"&lt;3",'2026'!$R$8:$R$185,"республика50м",'2026'!$Q$8:$Q$185,"снесен")</f>
        <v>0</v>
      </c>
      <c r="BS44" s="36">
        <f t="shared" si="117"/>
        <v>0</v>
      </c>
      <c r="BT44" s="29"/>
      <c r="BU44" s="29">
        <f>SUMIFS('2026'!$N$8:$N$185,'2026'!$K$8:$K$185,"2026",'2026'!$J$8:$J$185,"&lt;3",'2026'!$R$8:$R$185,"республика50м")</f>
        <v>0</v>
      </c>
      <c r="BV44" s="29">
        <f t="shared" si="152"/>
        <v>0</v>
      </c>
      <c r="BW44" s="29">
        <f>SUMIFS('2026'!$B$8:$B$185,'2026'!$K$8:$K$185,"2026",'2026'!$J$8:$J$185,"&lt;3",'2026'!$R$8:$R$185,"область50м")</f>
        <v>0</v>
      </c>
      <c r="BX44" s="29">
        <f>SUMIFS('2026'!$B$8:$B$185,'2026'!$K$8:$K$185,"2026",'2026'!$J$8:$J$185,"&lt;3",'2026'!$R$8:$R$185,"область50м",'2026'!$Q$8:$Q$185,"снесен")</f>
        <v>0</v>
      </c>
      <c r="BY44" s="36">
        <f t="shared" si="118"/>
        <v>0</v>
      </c>
      <c r="BZ44" s="29"/>
      <c r="CA44" s="29">
        <f>SUMIFS('2026'!$N$8:$N$185,'2026'!$K$8:$K$185,"2026",'2026'!$J$8:$J$185,"&lt;3",'2026'!$R$8:$R$185,"область50м")</f>
        <v>0</v>
      </c>
      <c r="CB44" s="29">
        <f t="shared" si="154"/>
        <v>0</v>
      </c>
      <c r="CC44" s="29">
        <f>SUMIFS('2026'!$B$8:$B$185,'2026'!$K$8:$K$185,"2026",'2026'!$J$8:$J$185,"&lt;3",'2026'!$R$8:$R$185,"район50м")</f>
        <v>0</v>
      </c>
      <c r="CD44" s="29">
        <f>SUMIFS('2026'!$B$8:$B$185,'2026'!$K$8:$K$185,"2026",'2026'!$J$8:$J$185,"&lt;3",'2026'!$R$8:$R$185,"район50м",'2026'!$Q$8:$Q$185,"снесен")</f>
        <v>0</v>
      </c>
      <c r="CE44" s="36">
        <f t="shared" si="119"/>
        <v>0</v>
      </c>
      <c r="CF44" s="29"/>
      <c r="CG44" s="29">
        <f>SUMIFS('2026'!$N$8:$N$185,'2026'!$K$8:$K$185,"2026",'2026'!$J$8:$J$185,"&lt;3",'2026'!$R$8:$R$185,"район50м")</f>
        <v>0</v>
      </c>
      <c r="CH44" s="30">
        <f t="shared" si="181"/>
        <v>2</v>
      </c>
      <c r="CI44" s="29">
        <f>SUMIFS('2026'!$B$8:$B$185,'2026'!$K$8:$K$185,"2026",'2026'!$J$8:$J$185,"&lt;3",'2026'!$R$8:$R$185,"райпо")</f>
        <v>2</v>
      </c>
      <c r="CJ44" s="29">
        <f>SUMIFS('2026'!$B$8:$B$185,'2026'!$K$8:$K$185,"2026",'2026'!$J$8:$J$185,"&lt;3",'2026'!$R$8:$R$185,"райпо",'2026'!$Q$8:$Q$185,"снесен")</f>
        <v>0</v>
      </c>
      <c r="CK44" s="36">
        <f t="shared" si="120"/>
        <v>0</v>
      </c>
      <c r="CL44" s="29"/>
      <c r="CM44" s="29">
        <f>SUMIFS('2026'!$N$8:$N$185,'2026'!$K$8:$K$185,"2026",'2026'!$J$8:$J$185,"&lt;3",'2026'!$R$8:$R$185,"райпо")</f>
        <v>3</v>
      </c>
      <c r="CN44" s="43">
        <f t="shared" si="182"/>
        <v>0</v>
      </c>
      <c r="CO44" s="29">
        <f>SUMIFS('2026'!$B$8:$B$185,'2026'!$K$8:$K$185,"2026",'2026'!$J$8:$J$185,"&lt;3",'2026'!$R$8:$R$185,"инаяч")</f>
        <v>0</v>
      </c>
      <c r="CP44" s="29">
        <f>SUMIFS('2026'!$B$8:$B$185,'2026'!$K$8:$K$185,"2026",'2026'!$J$8:$J$185,"&lt;3",'2026'!$R$8:$R$185,"инаяч",'2026'!$Q$8:$Q$185,"снесен")</f>
        <v>0</v>
      </c>
      <c r="CQ44" s="36">
        <f t="shared" si="121"/>
        <v>0</v>
      </c>
      <c r="CR44" s="29"/>
      <c r="CS44" s="32">
        <f>SUMIFS('2026'!$N$8:$N$185,'2026'!$K$8:$K$185,"2026",'2026'!$J$8:$J$185,"&lt;3",'2026'!$R$8:$R$185,"инаяч")</f>
        <v>0</v>
      </c>
      <c r="CT44" s="44">
        <f t="shared" si="160"/>
        <v>0</v>
      </c>
      <c r="CU44" s="29">
        <f>SUMIFS('2026'!$B$8:$B$185,'2026'!$K$8:$K$185,"2026",'2026'!$J$8:$J$185,"&lt;3",'2026'!$R$8:$R$185,"бесхозяйное")</f>
        <v>0</v>
      </c>
      <c r="CV44" s="29">
        <f>SUMIFS('2026'!$B$8:$B$185,'2026'!$K$8:$K$185,"2026",'2026'!$J$8:$J$185,"&lt;3",'2026'!$R$8:$R$185,"бесхозяйное",'2026'!$Q$8:$Q$185,"снесен")</f>
        <v>0</v>
      </c>
      <c r="CW44" s="36">
        <f t="shared" si="122"/>
        <v>0</v>
      </c>
      <c r="CX44" s="29"/>
      <c r="CY44" s="32">
        <f>SUMIFS('2026'!$N$8:$N$185,'2026'!$K$8:$K$185,"2026",'2026'!$J$8:$J$185,"&lt;3",'2026'!$R$8:$R$185,"бесхозяйное")</f>
        <v>0</v>
      </c>
      <c r="DB44" s="46">
        <f t="shared" si="123"/>
        <v>0</v>
      </c>
      <c r="DC44" s="38">
        <f t="shared" ref="DC44:DD47" si="184">DI44+DO44+DU44</f>
        <v>0</v>
      </c>
      <c r="DD44" s="38">
        <f t="shared" si="184"/>
        <v>0</v>
      </c>
      <c r="DE44" s="39">
        <f t="shared" ref="DE44:DE47" si="185">IFERROR(DD44/DC44*100,0)</f>
        <v>0</v>
      </c>
      <c r="DF44" s="47">
        <f t="shared" ref="DF44:DG47" si="186">DL44+DR44+DX44</f>
        <v>0</v>
      </c>
      <c r="DG44" s="48">
        <f t="shared" si="186"/>
        <v>0</v>
      </c>
      <c r="DH44" s="49">
        <f t="shared" ref="DH44:DJ47" si="187">AL44+BP44</f>
        <v>0</v>
      </c>
      <c r="DI44" s="47">
        <f t="shared" si="187"/>
        <v>0</v>
      </c>
      <c r="DJ44" s="47">
        <f t="shared" si="187"/>
        <v>0</v>
      </c>
      <c r="DK44" s="50">
        <f t="shared" si="124"/>
        <v>0</v>
      </c>
      <c r="DL44" s="47"/>
      <c r="DM44" s="48">
        <f t="shared" ref="DM44:DP47" si="188">AQ44+BU44</f>
        <v>0</v>
      </c>
      <c r="DN44" s="49">
        <f t="shared" si="188"/>
        <v>0</v>
      </c>
      <c r="DO44" s="47">
        <f t="shared" si="188"/>
        <v>0</v>
      </c>
      <c r="DP44" s="47">
        <f t="shared" si="188"/>
        <v>0</v>
      </c>
      <c r="DQ44" s="50">
        <f t="shared" si="125"/>
        <v>0</v>
      </c>
      <c r="DR44" s="47"/>
      <c r="DS44" s="48">
        <f t="shared" ref="DS44:DV47" si="189">AW44+CA44</f>
        <v>0</v>
      </c>
      <c r="DT44" s="49">
        <f t="shared" si="189"/>
        <v>0</v>
      </c>
      <c r="DU44" s="47">
        <f t="shared" si="189"/>
        <v>0</v>
      </c>
      <c r="DV44" s="47">
        <f t="shared" si="189"/>
        <v>0</v>
      </c>
      <c r="DW44" s="50">
        <f t="shared" si="126"/>
        <v>0</v>
      </c>
      <c r="DX44" s="47"/>
      <c r="DY44" s="48">
        <f>BC44+CG44</f>
        <v>0</v>
      </c>
    </row>
    <row r="45" spans="1:129" s="45" customFormat="1" ht="15.75" customHeight="1" x14ac:dyDescent="0.25">
      <c r="A45" s="28" t="s">
        <v>173</v>
      </c>
      <c r="B45" s="29">
        <f t="shared" si="127"/>
        <v>8</v>
      </c>
      <c r="C45" s="30">
        <f t="shared" si="128"/>
        <v>8</v>
      </c>
      <c r="D45" s="30">
        <f t="shared" si="128"/>
        <v>0</v>
      </c>
      <c r="E45" s="31">
        <f t="shared" si="106"/>
        <v>0</v>
      </c>
      <c r="F45" s="29">
        <f t="shared" si="129"/>
        <v>0</v>
      </c>
      <c r="G45" s="32">
        <f t="shared" si="129"/>
        <v>51.900000000000006</v>
      </c>
      <c r="H45" s="33">
        <f t="shared" si="169"/>
        <v>2</v>
      </c>
      <c r="I45" s="34">
        <f t="shared" si="170"/>
        <v>2</v>
      </c>
      <c r="J45" s="34">
        <f t="shared" si="170"/>
        <v>0</v>
      </c>
      <c r="K45" s="35">
        <f t="shared" si="107"/>
        <v>0</v>
      </c>
      <c r="L45" s="29">
        <f t="shared" si="171"/>
        <v>0</v>
      </c>
      <c r="M45" s="32">
        <f t="shared" si="171"/>
        <v>22.1</v>
      </c>
      <c r="N45" s="33">
        <f t="shared" si="172"/>
        <v>0</v>
      </c>
      <c r="O45" s="29">
        <f>SUMIFS('2026'!$B$8:$B$185,'2026'!$K$8:$K$185,"2026",'2026'!$J$8:$J$185,"3",'2026'!$R$8:$R$185,"республика")</f>
        <v>0</v>
      </c>
      <c r="P45" s="29">
        <f>SUMIFS('2026'!$B$8:$B$185,'2026'!$K$8:$K$185,"2026",'2026'!$J$8:$J$185,"3",'2026'!$R$8:$R$185,"республика",'2026'!$Q$8:$Q$185,"снесен")</f>
        <v>0</v>
      </c>
      <c r="Q45" s="36">
        <f t="shared" si="108"/>
        <v>0</v>
      </c>
      <c r="R45" s="29"/>
      <c r="S45" s="29">
        <f>SUMIFS('2026'!$N$8:$N$185,'2026'!$K$8:$K$185,"2026",'2026'!$J$8:$J$185,"3",'2026'!$R$8:$R$185,"республика")</f>
        <v>0</v>
      </c>
      <c r="T45" s="29">
        <f t="shared" si="173"/>
        <v>0</v>
      </c>
      <c r="U45" s="29">
        <f>SUMIFS('2026'!$B$8:$B$185,'2026'!$K$8:$K$185,"2026",'2026'!$J$8:$J$185,"3",'2026'!$R$8:$R$185,"область")</f>
        <v>0</v>
      </c>
      <c r="V45" s="29">
        <f>SUMIFS('2026'!$B$8:$B$185,'2026'!$K$8:$K$185,"2026",'2026'!$J$8:$J$185,"3",'2026'!$R$8:$R$185,"область",'2026'!$Q$8:$Q$185,"снесен")</f>
        <v>0</v>
      </c>
      <c r="W45" s="36">
        <f t="shared" si="109"/>
        <v>0</v>
      </c>
      <c r="X45" s="29"/>
      <c r="Y45" s="29">
        <f>SUMIFS('2026'!$N$8:$N$185,'2026'!$K$8:$K$185,"2026",'2026'!$J$8:$J$185,"3",'2026'!$R$8:$R$185,"область")</f>
        <v>0</v>
      </c>
      <c r="Z45" s="29">
        <f t="shared" si="136"/>
        <v>2</v>
      </c>
      <c r="AA45" s="29">
        <f>SUMIFS('2026'!$B$8:$B$185,'2026'!$K$8:$K$185,"2026",'2026'!$J$8:$J$185,"3",'2026'!$R$8:$R$185,"район")</f>
        <v>2</v>
      </c>
      <c r="AB45" s="29">
        <f>SUMIFS('2026'!$B$8:$B$185,'2026'!$K$8:$K$185,"2026",'2026'!$J$8:$J$185,"3",'2026'!$R$8:$R$185,"район",'2026'!$Q$8:$Q$185,"снесен")</f>
        <v>0</v>
      </c>
      <c r="AC45" s="36">
        <f t="shared" si="110"/>
        <v>0</v>
      </c>
      <c r="AD45" s="29"/>
      <c r="AE45" s="32">
        <f>SUMIFS('2026'!$N$8:$N$185,'2026'!$K$8:$K$185,"2026",'2026'!$J$8:$J$185,"3",'2026'!$R$8:$R$185,"район")</f>
        <v>22.1</v>
      </c>
      <c r="AF45" s="37">
        <f t="shared" si="138"/>
        <v>5</v>
      </c>
      <c r="AG45" s="38">
        <f t="shared" si="174"/>
        <v>5</v>
      </c>
      <c r="AH45" s="38">
        <f t="shared" si="139"/>
        <v>0</v>
      </c>
      <c r="AI45" s="39">
        <f t="shared" si="111"/>
        <v>0</v>
      </c>
      <c r="AJ45" s="29">
        <f t="shared" si="175"/>
        <v>0</v>
      </c>
      <c r="AK45" s="32">
        <f t="shared" si="175"/>
        <v>26.8</v>
      </c>
      <c r="AL45" s="37">
        <f t="shared" si="140"/>
        <v>0</v>
      </c>
      <c r="AM45" s="29">
        <f>SUMIFS('2026'!$B$8:$B$185,'2026'!$K$8:$K$185,"2026",'2026'!$J$8:$J$185,"3",'2026'!$R$8:$R$185,"республика50б")</f>
        <v>0</v>
      </c>
      <c r="AN45" s="29">
        <f>SUMIFS('2026'!$B$8:$B$185,'2026'!$K$8:$K$185,"2026",'2026'!$J$8:$J$185,"3",'2026'!$R$8:$R$185,"республика50б",'2026'!$Q$8:$Q$185,"снесен")</f>
        <v>0</v>
      </c>
      <c r="AO45" s="36">
        <f t="shared" si="112"/>
        <v>0</v>
      </c>
      <c r="AP45" s="29"/>
      <c r="AQ45" s="29">
        <f>SUMIFS('2026'!$N$8:$N$185,'2026'!$K$8:$K$185,"2026",'2026'!$J$8:$J$185,"3",'2026'!$R$8:$R$185,"республика50б")</f>
        <v>0</v>
      </c>
      <c r="AR45" s="29">
        <f t="shared" si="142"/>
        <v>0</v>
      </c>
      <c r="AS45" s="29">
        <f>SUMIFS('2026'!$B$8:$B$185,'2026'!$K$8:$K$185,"2026",'2026'!$J$8:$J$185,"3",'2026'!$R$8:$R$185,"область50б")</f>
        <v>0</v>
      </c>
      <c r="AT45" s="29">
        <f>SUMIFS('2026'!$B$8:$B$185,'2026'!$K$8:$K$185,"2026",'2026'!$J$8:$J$185,"3",'2026'!$R$8:$R$185,"область50б",'2026'!$Q$8:$Q$185,"снесен")</f>
        <v>0</v>
      </c>
      <c r="AU45" s="36">
        <f t="shared" si="113"/>
        <v>0</v>
      </c>
      <c r="AV45" s="29"/>
      <c r="AW45" s="29">
        <f>SUMIFS('2026'!$N$8:$N$185,'2026'!$K$8:$K$185,"2026",'2026'!$J$8:$J$185,"3",'2026'!$R$8:$R$185,"область50б")</f>
        <v>0</v>
      </c>
      <c r="AX45" s="29">
        <f t="shared" si="144"/>
        <v>5</v>
      </c>
      <c r="AY45" s="29">
        <f>SUMIFS('2026'!$B$8:$B$185,'2026'!$K$8:$K$185,"2026",'2026'!$J$8:$J$185,"3",'2026'!$R$8:$R$185,"район50б")</f>
        <v>5</v>
      </c>
      <c r="AZ45" s="29">
        <f>SUMIFS('2026'!$B$8:$B$185,'2026'!$K$8:$K$185,"2026",'2026'!$J$8:$J$185,"3",'2026'!$R$8:$R$185,"район50б",'2026'!$Q$8:$Q$185,"снесен")</f>
        <v>0</v>
      </c>
      <c r="BA45" s="36">
        <f t="shared" si="114"/>
        <v>0</v>
      </c>
      <c r="BB45" s="29"/>
      <c r="BC45" s="32">
        <f>SUMIFS('2026'!$N$8:$N$185,'2026'!$K$8:$K$185,"2026",'2026'!$J$8:$J$185,"3",'2026'!$R$8:$R$185,"район50б")</f>
        <v>26.8</v>
      </c>
      <c r="BD45" s="37">
        <f t="shared" si="176"/>
        <v>1</v>
      </c>
      <c r="BE45" s="40">
        <f t="shared" si="177"/>
        <v>1</v>
      </c>
      <c r="BF45" s="40">
        <f t="shared" si="177"/>
        <v>0</v>
      </c>
      <c r="BG45" s="41">
        <f t="shared" si="115"/>
        <v>0</v>
      </c>
      <c r="BH45" s="29"/>
      <c r="BI45" s="32">
        <f t="shared" si="183"/>
        <v>3</v>
      </c>
      <c r="BJ45" s="37">
        <f t="shared" si="178"/>
        <v>0</v>
      </c>
      <c r="BK45" s="42">
        <f t="shared" si="179"/>
        <v>0</v>
      </c>
      <c r="BL45" s="42">
        <f t="shared" si="149"/>
        <v>0</v>
      </c>
      <c r="BM45" s="41">
        <f t="shared" si="116"/>
        <v>0</v>
      </c>
      <c r="BN45" s="29">
        <f t="shared" si="180"/>
        <v>0</v>
      </c>
      <c r="BO45" s="29">
        <f t="shared" si="180"/>
        <v>0</v>
      </c>
      <c r="BP45" s="29">
        <f t="shared" si="150"/>
        <v>0</v>
      </c>
      <c r="BQ45" s="29">
        <f>SUMIFS('2026'!$B$8:$B$185,'2026'!$K$8:$K$185,"2026",'2026'!$J$8:$J$185,"3",'2026'!$R$8:$R$185,"республика50м")</f>
        <v>0</v>
      </c>
      <c r="BR45" s="29">
        <f>SUMIFS('2026'!$B$8:$B$185,'2026'!$K$8:$K$185,"2026",'2026'!$J$8:$J$185,"3",'2026'!$R$8:$R$185,"республика50м",'2026'!$Q$8:$Q$185,"снесен")</f>
        <v>0</v>
      </c>
      <c r="BS45" s="36">
        <f t="shared" si="117"/>
        <v>0</v>
      </c>
      <c r="BT45" s="29"/>
      <c r="BU45" s="29">
        <f>SUMIFS('2026'!$N$8:$N$185,'2026'!$K$8:$K$185,"2026",'2026'!$J$8:$J$185,"3",'2026'!$R$8:$R$185,"республика50м")</f>
        <v>0</v>
      </c>
      <c r="BV45" s="29">
        <f t="shared" si="152"/>
        <v>0</v>
      </c>
      <c r="BW45" s="29">
        <f>SUMIFS('2026'!$B$8:$B$185,'2026'!$K$8:$K$185,"2026",'2026'!$J$8:$J$185,"3",'2026'!$R$8:$R$185,"область50м")</f>
        <v>0</v>
      </c>
      <c r="BX45" s="29">
        <f>SUMIFS('2026'!$B$8:$B$185,'2026'!$K$8:$K$185,"2026",'2026'!$J$8:$J$185,"3",'2026'!$R$8:$R$185,"область50м",'2026'!$Q$8:$Q$185,"снесен")</f>
        <v>0</v>
      </c>
      <c r="BY45" s="36">
        <f t="shared" si="118"/>
        <v>0</v>
      </c>
      <c r="BZ45" s="29"/>
      <c r="CA45" s="29">
        <f>SUMIFS('2026'!$N$8:$N$185,'2026'!$K$8:$K$185,"2026",'2026'!$J$8:$J$185,"3",'2026'!$R$8:$R$185,"область50м")</f>
        <v>0</v>
      </c>
      <c r="CB45" s="29">
        <f t="shared" si="154"/>
        <v>0</v>
      </c>
      <c r="CC45" s="29">
        <f>SUMIFS('2026'!$B$8:$B$185,'2026'!$K$8:$K$185,"2026",'2026'!$J$8:$J$185,"3",'2026'!$R$8:$R$185,"район50м")</f>
        <v>0</v>
      </c>
      <c r="CD45" s="29">
        <f>SUMIFS('2026'!$B$8:$B$185,'2026'!$K$8:$K$185,"2026",'2026'!$J$8:$J$185,"3",'2026'!$R$8:$R$185,"район50м",'2026'!$Q$8:$Q$185,"снесен")</f>
        <v>0</v>
      </c>
      <c r="CE45" s="36">
        <f t="shared" si="119"/>
        <v>0</v>
      </c>
      <c r="CF45" s="29"/>
      <c r="CG45" s="29">
        <f>SUMIFS('2026'!$N$8:$N$185,'2026'!$K$8:$K$185,"2026",'2026'!$J$8:$J$185,"3",'2026'!$R$8:$R$185,"район50м")</f>
        <v>0</v>
      </c>
      <c r="CH45" s="30">
        <f t="shared" si="181"/>
        <v>1</v>
      </c>
      <c r="CI45" s="29">
        <f>SUMIFS('2026'!$B$8:$B$185,'2026'!$K$8:$K$185,"2026",'2026'!$J$8:$J$185,"3",'2026'!$R$8:$R$185,"райпо")</f>
        <v>1</v>
      </c>
      <c r="CJ45" s="29">
        <f>SUMIFS('2026'!$B$8:$B$185,'2026'!$K$8:$K$185,"2026",'2026'!$J$8:$J$185,"3",'2026'!$R$8:$R$185,"райпо",'2026'!$Q$8:$Q$185,"снесен")</f>
        <v>0</v>
      </c>
      <c r="CK45" s="36">
        <f t="shared" si="120"/>
        <v>0</v>
      </c>
      <c r="CL45" s="29"/>
      <c r="CM45" s="29">
        <f>SUMIFS('2026'!$N$8:$N$185,'2026'!$K$8:$K$185,"2026",'2026'!$J$8:$J$185,"3",'2026'!$R$8:$R$185,"райпо")</f>
        <v>3</v>
      </c>
      <c r="CN45" s="43">
        <f t="shared" si="182"/>
        <v>0</v>
      </c>
      <c r="CO45" s="29">
        <f>SUMIFS('2026'!$B$8:$B$185,'2026'!$K$8:$K$185,"2026",'2026'!$J$8:$J$185,"3",'2026'!$R$8:$R$185,"инаяч")</f>
        <v>0</v>
      </c>
      <c r="CP45" s="29">
        <f>SUMIFS('2026'!$B$8:$B$185,'2026'!$K$8:$K$185,"2026",'2026'!$J$8:$J$185,"3",'2026'!$R$8:$R$185,"инаяч",'2026'!$Q$8:$Q$185,"снесен")</f>
        <v>0</v>
      </c>
      <c r="CQ45" s="36">
        <f t="shared" si="121"/>
        <v>0</v>
      </c>
      <c r="CR45" s="29"/>
      <c r="CS45" s="32">
        <f>SUMIFS('2026'!$N$8:$N$185,'2026'!$K$8:$K$185,"2026",'2026'!$J$8:$J$185,"3",'2026'!$R$8:$R$185,"инаяч")</f>
        <v>0</v>
      </c>
      <c r="CT45" s="44">
        <f t="shared" si="160"/>
        <v>0</v>
      </c>
      <c r="CU45" s="29">
        <f>SUMIFS('2026'!$B$8:$B$185,'2026'!$K$8:$K$185,"2026",'2026'!$J$8:$J$185,"3",'2026'!$R$8:$R$185,"бесхозяйное")</f>
        <v>0</v>
      </c>
      <c r="CV45" s="29">
        <f>SUMIFS('2026'!$B$8:$B$185,'2026'!$K$8:$K$185,"2026",'2026'!$J$8:$J$185,"3",'2026'!$R$8:$R$185,"бесхозяйное",'2026'!$Q$8:$Q$185,"снесен")</f>
        <v>0</v>
      </c>
      <c r="CW45" s="36">
        <f t="shared" si="122"/>
        <v>0</v>
      </c>
      <c r="CX45" s="29"/>
      <c r="CY45" s="32">
        <f>SUMIFS('2026'!$N$8:$N$185,'2026'!$K$8:$K$185,"2026",'2026'!$J$8:$J$185,"3",'2026'!$R$8:$R$185,"бесхозяйное")</f>
        <v>0</v>
      </c>
      <c r="DB45" s="46">
        <f t="shared" si="123"/>
        <v>5</v>
      </c>
      <c r="DC45" s="38">
        <f t="shared" si="184"/>
        <v>5</v>
      </c>
      <c r="DD45" s="38">
        <f t="shared" si="184"/>
        <v>0</v>
      </c>
      <c r="DE45" s="39">
        <f t="shared" si="185"/>
        <v>0</v>
      </c>
      <c r="DF45" s="47">
        <f t="shared" si="186"/>
        <v>0</v>
      </c>
      <c r="DG45" s="48">
        <f t="shared" si="186"/>
        <v>26.8</v>
      </c>
      <c r="DH45" s="49">
        <f t="shared" si="187"/>
        <v>0</v>
      </c>
      <c r="DI45" s="47">
        <f t="shared" si="187"/>
        <v>0</v>
      </c>
      <c r="DJ45" s="47">
        <f t="shared" si="187"/>
        <v>0</v>
      </c>
      <c r="DK45" s="50">
        <f t="shared" si="124"/>
        <v>0</v>
      </c>
      <c r="DL45" s="47"/>
      <c r="DM45" s="48">
        <f t="shared" si="188"/>
        <v>0</v>
      </c>
      <c r="DN45" s="49">
        <f t="shared" si="188"/>
        <v>0</v>
      </c>
      <c r="DO45" s="47">
        <f t="shared" si="188"/>
        <v>0</v>
      </c>
      <c r="DP45" s="47">
        <f t="shared" si="188"/>
        <v>0</v>
      </c>
      <c r="DQ45" s="50">
        <f t="shared" si="125"/>
        <v>0</v>
      </c>
      <c r="DR45" s="47"/>
      <c r="DS45" s="48">
        <f t="shared" si="189"/>
        <v>0</v>
      </c>
      <c r="DT45" s="49">
        <f t="shared" si="189"/>
        <v>5</v>
      </c>
      <c r="DU45" s="47">
        <f t="shared" si="189"/>
        <v>5</v>
      </c>
      <c r="DV45" s="47">
        <f t="shared" si="189"/>
        <v>0</v>
      </c>
      <c r="DW45" s="50">
        <f t="shared" si="126"/>
        <v>0</v>
      </c>
      <c r="DX45" s="47"/>
      <c r="DY45" s="48">
        <f>BC45+CG45</f>
        <v>26.8</v>
      </c>
    </row>
    <row r="46" spans="1:129" s="45" customFormat="1" ht="15.75" customHeight="1" x14ac:dyDescent="0.25">
      <c r="A46" s="28" t="s">
        <v>174</v>
      </c>
      <c r="B46" s="29">
        <f t="shared" si="127"/>
        <v>3</v>
      </c>
      <c r="C46" s="30">
        <f t="shared" si="128"/>
        <v>3</v>
      </c>
      <c r="D46" s="30">
        <f t="shared" si="128"/>
        <v>0</v>
      </c>
      <c r="E46" s="31">
        <f t="shared" si="106"/>
        <v>0</v>
      </c>
      <c r="F46" s="29">
        <f t="shared" si="129"/>
        <v>0</v>
      </c>
      <c r="G46" s="32">
        <f t="shared" si="129"/>
        <v>16.5</v>
      </c>
      <c r="H46" s="33">
        <f t="shared" si="169"/>
        <v>0</v>
      </c>
      <c r="I46" s="34">
        <f t="shared" si="170"/>
        <v>0</v>
      </c>
      <c r="J46" s="34">
        <f t="shared" si="170"/>
        <v>0</v>
      </c>
      <c r="K46" s="35">
        <f t="shared" si="107"/>
        <v>0</v>
      </c>
      <c r="L46" s="29">
        <f t="shared" si="171"/>
        <v>0</v>
      </c>
      <c r="M46" s="32">
        <f t="shared" si="171"/>
        <v>0</v>
      </c>
      <c r="N46" s="33">
        <f t="shared" si="172"/>
        <v>0</v>
      </c>
      <c r="O46" s="29">
        <f>SUMIFS('2026'!$B$8:$B$185,'2026'!$K$8:$K$185,"2026",'2026'!$J$8:$J$185,"4",'2026'!$R$8:$R$185,"республика")</f>
        <v>0</v>
      </c>
      <c r="P46" s="29">
        <f>SUMIFS('2026'!$B$8:$B$185,'2026'!$K$8:$K$185,"2026",'2026'!$J$8:$J$185,"4",'2026'!$R$8:$R$185,"республика",'2026'!$Q$8:$Q$185,"снесен")</f>
        <v>0</v>
      </c>
      <c r="Q46" s="36">
        <f t="shared" si="108"/>
        <v>0</v>
      </c>
      <c r="R46" s="29"/>
      <c r="S46" s="29">
        <f>SUMIFS('2026'!$N$8:$N$185,'2026'!$K$8:$K$185,"2026",'2026'!$J$8:$J$185,"4",'2026'!$R$8:$R$185,"республика")</f>
        <v>0</v>
      </c>
      <c r="T46" s="29">
        <f t="shared" si="173"/>
        <v>0</v>
      </c>
      <c r="U46" s="29">
        <f>SUMIFS('2026'!$B$8:$B$185,'2026'!$K$8:$K$185,"2026",'2026'!$J$8:$J$185,"4",'2026'!$R$8:$R$185,"область")</f>
        <v>0</v>
      </c>
      <c r="V46" s="29">
        <f>SUMIFS('2026'!$B$8:$B$185,'2026'!$K$8:$K$185,"2026",'2026'!$J$8:$J$185,"4",'2026'!$R$8:$R$185,"область",'2026'!$Q$8:$Q$185,"снесен")</f>
        <v>0</v>
      </c>
      <c r="W46" s="36">
        <f t="shared" si="109"/>
        <v>0</v>
      </c>
      <c r="X46" s="29"/>
      <c r="Y46" s="29">
        <f>SUMIFS('2026'!$N$8:$N$185,'2026'!$K$8:$K$185,"2026",'2026'!$J$8:$J$185,"4",'2026'!$R$8:$R$185,"область")</f>
        <v>0</v>
      </c>
      <c r="Z46" s="29">
        <f t="shared" si="136"/>
        <v>0</v>
      </c>
      <c r="AA46" s="29">
        <f>SUMIFS('2026'!$B$8:$B$185,'2026'!$K$8:$K$185,"2026",'2026'!$J$8:$J$185,"4",'2026'!$R$8:$R$185,"район")</f>
        <v>0</v>
      </c>
      <c r="AB46" s="29">
        <f>SUMIFS('2026'!$B$8:$B$185,'2026'!$K$8:$K$185,"2026",'2026'!$J$8:$J$185,"4",'2026'!$R$8:$R$185,"район",'2026'!$Q$8:$Q$185,"снесен")</f>
        <v>0</v>
      </c>
      <c r="AC46" s="36">
        <f t="shared" si="110"/>
        <v>0</v>
      </c>
      <c r="AD46" s="29"/>
      <c r="AE46" s="32">
        <f>SUMIFS('2026'!$N$8:$N$185,'2026'!$K$8:$K$185,"2026",'2026'!$J$8:$J$185,"4",'2026'!$R$8:$R$185,"район")</f>
        <v>0</v>
      </c>
      <c r="AF46" s="37">
        <f t="shared" si="138"/>
        <v>2</v>
      </c>
      <c r="AG46" s="38">
        <f t="shared" si="174"/>
        <v>2</v>
      </c>
      <c r="AH46" s="38">
        <f t="shared" si="139"/>
        <v>0</v>
      </c>
      <c r="AI46" s="39">
        <f t="shared" si="111"/>
        <v>0</v>
      </c>
      <c r="AJ46" s="29">
        <f t="shared" si="175"/>
        <v>0</v>
      </c>
      <c r="AK46" s="32">
        <f t="shared" si="175"/>
        <v>9.5</v>
      </c>
      <c r="AL46" s="37">
        <f t="shared" si="140"/>
        <v>0</v>
      </c>
      <c r="AM46" s="29">
        <f>SUMIFS('2026'!$B$8:$B$185,'2026'!$K$8:$K$185,"2026",'2026'!$J$8:$J$185,"4",'2026'!$R$8:$R$185,"республика50б")</f>
        <v>0</v>
      </c>
      <c r="AN46" s="29">
        <f>SUMIFS('2026'!$B$8:$B$185,'2026'!$K$8:$K$185,"2026",'2026'!$J$8:$J$185,"4",'2026'!$R$8:$R$185,"республика50б",'2026'!$Q$8:$Q$185,"снесен")</f>
        <v>0</v>
      </c>
      <c r="AO46" s="36">
        <f t="shared" si="112"/>
        <v>0</v>
      </c>
      <c r="AP46" s="29"/>
      <c r="AQ46" s="29">
        <f>SUMIFS('2026'!$N$8:$N$185,'2026'!$K$8:$K$185,"2026",'2026'!$J$8:$J$185,"4",'2026'!$R$8:$R$185,"республика50б")</f>
        <v>0</v>
      </c>
      <c r="AR46" s="29">
        <f t="shared" si="142"/>
        <v>0</v>
      </c>
      <c r="AS46" s="29">
        <f>SUMIFS('2026'!$B$8:$B$185,'2026'!$K$8:$K$185,"2026",'2026'!$J$8:$J$185,"4",'2026'!$R$8:$R$185,"область50б")</f>
        <v>0</v>
      </c>
      <c r="AT46" s="29">
        <f>SUMIFS('2026'!$B$8:$B$185,'2026'!$K$8:$K$185,"2026",'2026'!$J$8:$J$185,"4",'2026'!$R$8:$R$185,"область50б",'2026'!$Q$8:$Q$185,"снесен")</f>
        <v>0</v>
      </c>
      <c r="AU46" s="36">
        <f t="shared" si="113"/>
        <v>0</v>
      </c>
      <c r="AV46" s="29"/>
      <c r="AW46" s="29">
        <f>SUMIFS('2026'!$N$8:$N$185,'2026'!$K$8:$K$185,"2026",'2026'!$J$8:$J$185,"4",'2026'!$R$8:$R$185,"область50б")</f>
        <v>0</v>
      </c>
      <c r="AX46" s="29">
        <f t="shared" si="144"/>
        <v>2</v>
      </c>
      <c r="AY46" s="29">
        <f>SUMIFS('2026'!$B$8:$B$185,'2026'!$K$8:$K$185,"2026",'2026'!$J$8:$J$185,"4",'2026'!$R$8:$R$185,"район50б")</f>
        <v>2</v>
      </c>
      <c r="AZ46" s="29">
        <f>SUMIFS('2026'!$B$8:$B$185,'2026'!$K$8:$K$185,"2026",'2026'!$J$8:$J$185,"4",'2026'!$R$8:$R$185,"район50б",'2026'!$Q$8:$Q$185,"снесен")</f>
        <v>0</v>
      </c>
      <c r="BA46" s="36">
        <f t="shared" si="114"/>
        <v>0</v>
      </c>
      <c r="BB46" s="29"/>
      <c r="BC46" s="32">
        <f>SUMIFS('2026'!$N$8:$N$185,'2026'!$K$8:$K$185,"2026",'2026'!$J$8:$J$185,"4",'2026'!$R$8:$R$185,"район50б")</f>
        <v>9.5</v>
      </c>
      <c r="BD46" s="37">
        <f t="shared" si="176"/>
        <v>1</v>
      </c>
      <c r="BE46" s="40">
        <f t="shared" si="177"/>
        <v>1</v>
      </c>
      <c r="BF46" s="40">
        <f t="shared" si="177"/>
        <v>0</v>
      </c>
      <c r="BG46" s="41">
        <f t="shared" si="115"/>
        <v>0</v>
      </c>
      <c r="BH46" s="29"/>
      <c r="BI46" s="32">
        <f t="shared" si="183"/>
        <v>7</v>
      </c>
      <c r="BJ46" s="37">
        <f t="shared" si="178"/>
        <v>0</v>
      </c>
      <c r="BK46" s="42">
        <f t="shared" si="179"/>
        <v>0</v>
      </c>
      <c r="BL46" s="42">
        <f t="shared" si="149"/>
        <v>0</v>
      </c>
      <c r="BM46" s="41">
        <f t="shared" si="116"/>
        <v>0</v>
      </c>
      <c r="BN46" s="29">
        <f t="shared" si="180"/>
        <v>0</v>
      </c>
      <c r="BO46" s="29">
        <f t="shared" si="180"/>
        <v>0</v>
      </c>
      <c r="BP46" s="29">
        <f t="shared" si="150"/>
        <v>0</v>
      </c>
      <c r="BQ46" s="29">
        <f>SUMIFS('2026'!$B$8:$B$185,'2026'!$K$8:$K$185,"2026",'2026'!$J$8:$J$185,"4",'2026'!$R$8:$R$185,"республика50м")</f>
        <v>0</v>
      </c>
      <c r="BR46" s="29">
        <f>SUMIFS('2026'!$B$8:$B$185,'2026'!$K$8:$K$185,"2026",'2026'!$J$8:$J$185,"4",'2026'!$R$8:$R$185,"республика50м",'2026'!$Q$8:$Q$185,"снесен")</f>
        <v>0</v>
      </c>
      <c r="BS46" s="36">
        <f t="shared" si="117"/>
        <v>0</v>
      </c>
      <c r="BT46" s="29"/>
      <c r="BU46" s="29">
        <f>SUMIFS('2026'!$N$8:$N$185,'2026'!$K$8:$K$185,"2026",'2026'!$J$8:$J$185,"4",'2026'!$R$8:$R$185,"республика50м")</f>
        <v>0</v>
      </c>
      <c r="BV46" s="29">
        <f t="shared" si="152"/>
        <v>0</v>
      </c>
      <c r="BW46" s="29">
        <f>SUMIFS('2026'!$B$8:$B$185,'2026'!$K$8:$K$185,"2026",'2026'!$J$8:$J$185,"4",'2026'!$R$8:$R$185,"область50м")</f>
        <v>0</v>
      </c>
      <c r="BX46" s="29">
        <f>SUMIFS('2026'!$B$8:$B$185,'2026'!$K$8:$K$185,"2026",'2026'!$J$8:$J$185,"4",'2026'!$R$8:$R$185,"область50м",'2026'!$Q$8:$Q$185,"снесен")</f>
        <v>0</v>
      </c>
      <c r="BY46" s="36">
        <f t="shared" si="118"/>
        <v>0</v>
      </c>
      <c r="BZ46" s="29"/>
      <c r="CA46" s="29">
        <f>SUMIFS('2026'!$N$8:$N$185,'2026'!$K$8:$K$185,"2026",'2026'!$J$8:$J$185,"4",'2026'!$R$8:$R$185,"область50м")</f>
        <v>0</v>
      </c>
      <c r="CB46" s="29">
        <f t="shared" si="154"/>
        <v>0</v>
      </c>
      <c r="CC46" s="29">
        <f>SUMIFS('2026'!$B$8:$B$185,'2026'!$K$8:$K$185,"2026",'2026'!$J$8:$J$185,"4",'2026'!$R$8:$R$185,"район50м")</f>
        <v>0</v>
      </c>
      <c r="CD46" s="29">
        <f>SUMIFS('2026'!$B$8:$B$185,'2026'!$K$8:$K$185,"2026",'2026'!$J$8:$J$185,"4",'2026'!$R$8:$R$185,"район50м",'2026'!$Q$8:$Q$185,"снесен")</f>
        <v>0</v>
      </c>
      <c r="CE46" s="36">
        <f t="shared" si="119"/>
        <v>0</v>
      </c>
      <c r="CF46" s="29"/>
      <c r="CG46" s="29">
        <f>SUMIFS('2026'!$N$8:$N$185,'2026'!$K$8:$K$185,"2026",'2026'!$J$8:$J$185,"4",'2026'!$R$8:$R$185,"район50м")</f>
        <v>0</v>
      </c>
      <c r="CH46" s="30">
        <f t="shared" si="181"/>
        <v>1</v>
      </c>
      <c r="CI46" s="29">
        <f>SUMIFS('2026'!$B$8:$B$185,'2026'!$K$8:$K$185,"2026",'2026'!$J$8:$J$185,"4",'2026'!$R$8:$R$185,"райпо")</f>
        <v>1</v>
      </c>
      <c r="CJ46" s="29">
        <f>SUMIFS('2026'!$B$8:$B$185,'2026'!$K$8:$K$185,"2026",'2026'!$J$8:$J$185,"4",'2026'!$R$8:$R$185,"райпо",'2026'!$Q$8:$Q$185,"снесен")</f>
        <v>0</v>
      </c>
      <c r="CK46" s="36">
        <f t="shared" si="120"/>
        <v>0</v>
      </c>
      <c r="CL46" s="29"/>
      <c r="CM46" s="29">
        <f>SUMIFS('2026'!$N$8:$N$185,'2026'!$K$8:$K$185,"2026",'2026'!$J$8:$J$185,"4",'2026'!$R$8:$R$185,"райпо")</f>
        <v>7</v>
      </c>
      <c r="CN46" s="43">
        <f t="shared" si="182"/>
        <v>0</v>
      </c>
      <c r="CO46" s="29">
        <f>SUMIFS('2026'!$B$8:$B$185,'2026'!$K$8:$K$185,"2026",'2026'!$J$8:$J$185,"4",'2026'!$R$8:$R$185,"инаяч")</f>
        <v>0</v>
      </c>
      <c r="CP46" s="29">
        <f>SUMIFS('2026'!$B$8:$B$185,'2026'!$K$8:$K$185,"2026",'2026'!$J$8:$J$185,"4",'2026'!$R$8:$R$185,"инаяч",'2026'!$Q$8:$Q$185,"снесен")</f>
        <v>0</v>
      </c>
      <c r="CQ46" s="36">
        <f t="shared" si="121"/>
        <v>0</v>
      </c>
      <c r="CR46" s="29"/>
      <c r="CS46" s="32">
        <f>SUMIFS('2026'!$N$8:$N$185,'2026'!$K$8:$K$185,"2026",'2026'!$J$8:$J$185,"4",'2026'!$R$8:$R$185,"инаяч")</f>
        <v>0</v>
      </c>
      <c r="CT46" s="44">
        <f t="shared" si="160"/>
        <v>0</v>
      </c>
      <c r="CU46" s="29">
        <f>SUMIFS('2026'!$B$8:$B$185,'2026'!$K$8:$K$185,"2026",'2026'!$J$8:$J$185,"4",'2026'!$R$8:$R$185,"бесхозяйное")</f>
        <v>0</v>
      </c>
      <c r="CV46" s="29">
        <f>SUMIFS('2026'!$B$8:$B$185,'2026'!$K$8:$K$185,"2026",'2026'!$J$8:$J$185,"4",'2026'!$R$8:$R$185,"бесхозяйное",'2026'!$Q$8:$Q$185,"снесен")</f>
        <v>0</v>
      </c>
      <c r="CW46" s="36">
        <f t="shared" si="122"/>
        <v>0</v>
      </c>
      <c r="CX46" s="29"/>
      <c r="CY46" s="32">
        <f>SUMIFS('2026'!$N$8:$N$185,'2026'!$K$8:$K$185,"2026",'2026'!$J$8:$J$185,"4",'2026'!$R$8:$R$185,"бесхозяйное")</f>
        <v>0</v>
      </c>
      <c r="DB46" s="46">
        <f t="shared" si="123"/>
        <v>2</v>
      </c>
      <c r="DC46" s="38">
        <f t="shared" si="184"/>
        <v>2</v>
      </c>
      <c r="DD46" s="38">
        <f t="shared" si="184"/>
        <v>0</v>
      </c>
      <c r="DE46" s="39">
        <f t="shared" si="185"/>
        <v>0</v>
      </c>
      <c r="DF46" s="47">
        <f t="shared" si="186"/>
        <v>0</v>
      </c>
      <c r="DG46" s="48">
        <f t="shared" si="186"/>
        <v>9.5</v>
      </c>
      <c r="DH46" s="49">
        <f t="shared" si="187"/>
        <v>0</v>
      </c>
      <c r="DI46" s="47">
        <f t="shared" si="187"/>
        <v>0</v>
      </c>
      <c r="DJ46" s="47">
        <f t="shared" si="187"/>
        <v>0</v>
      </c>
      <c r="DK46" s="50">
        <f t="shared" si="124"/>
        <v>0</v>
      </c>
      <c r="DL46" s="47"/>
      <c r="DM46" s="48">
        <f t="shared" si="188"/>
        <v>0</v>
      </c>
      <c r="DN46" s="49">
        <f t="shared" si="188"/>
        <v>0</v>
      </c>
      <c r="DO46" s="47">
        <f t="shared" si="188"/>
        <v>0</v>
      </c>
      <c r="DP46" s="47">
        <f t="shared" si="188"/>
        <v>0</v>
      </c>
      <c r="DQ46" s="50">
        <f t="shared" si="125"/>
        <v>0</v>
      </c>
      <c r="DR46" s="47"/>
      <c r="DS46" s="48">
        <f t="shared" si="189"/>
        <v>0</v>
      </c>
      <c r="DT46" s="49">
        <f t="shared" si="189"/>
        <v>2</v>
      </c>
      <c r="DU46" s="47">
        <f t="shared" si="189"/>
        <v>2</v>
      </c>
      <c r="DV46" s="47">
        <f t="shared" si="189"/>
        <v>0</v>
      </c>
      <c r="DW46" s="50">
        <f t="shared" si="126"/>
        <v>0</v>
      </c>
      <c r="DX46" s="47"/>
      <c r="DY46" s="48">
        <f>BC46+CG46</f>
        <v>9.5</v>
      </c>
    </row>
    <row r="47" spans="1:129" s="45" customFormat="1" ht="15.75" customHeight="1" x14ac:dyDescent="0.25">
      <c r="A47" s="28" t="s">
        <v>175</v>
      </c>
      <c r="B47" s="29">
        <f t="shared" si="127"/>
        <v>1</v>
      </c>
      <c r="C47" s="30">
        <f t="shared" si="128"/>
        <v>1</v>
      </c>
      <c r="D47" s="30">
        <f t="shared" si="128"/>
        <v>0</v>
      </c>
      <c r="E47" s="31">
        <f t="shared" si="106"/>
        <v>0</v>
      </c>
      <c r="F47" s="29">
        <f t="shared" si="129"/>
        <v>0</v>
      </c>
      <c r="G47" s="32">
        <f t="shared" si="129"/>
        <v>9.1999999999999993</v>
      </c>
      <c r="H47" s="33">
        <f t="shared" si="169"/>
        <v>1</v>
      </c>
      <c r="I47" s="34">
        <f t="shared" si="170"/>
        <v>1</v>
      </c>
      <c r="J47" s="34">
        <f t="shared" si="170"/>
        <v>0</v>
      </c>
      <c r="K47" s="35">
        <f t="shared" si="107"/>
        <v>0</v>
      </c>
      <c r="L47" s="29">
        <f t="shared" si="171"/>
        <v>0</v>
      </c>
      <c r="M47" s="32">
        <f t="shared" si="171"/>
        <v>9.1999999999999993</v>
      </c>
      <c r="N47" s="33">
        <f t="shared" si="172"/>
        <v>0</v>
      </c>
      <c r="O47" s="29">
        <f>SUMIFS('2026'!$B$8:$B$185,'2026'!$K$8:$K$185,"2026",'2026'!$J$8:$J$185,"&gt;4",'2026'!$R$8:$R$185,"республика")</f>
        <v>0</v>
      </c>
      <c r="P47" s="29">
        <f>SUMIFS('2026'!$B$8:$B$185,'2026'!$K$8:$K$185,"2026",'2026'!$J$8:$J$185,"&gt;4",'2026'!$R$8:$R$185,"республика",'2026'!$Q$8:$Q$185,"снесен")</f>
        <v>0</v>
      </c>
      <c r="Q47" s="36">
        <f t="shared" si="108"/>
        <v>0</v>
      </c>
      <c r="R47" s="29"/>
      <c r="S47" s="29">
        <f>SUMIFS('2026'!$N$8:$N$185,'2026'!$K$8:$K$185,"2026",'2026'!$J$8:$J$185,"&gt;4",'2026'!$R$8:$R$185,"республика")</f>
        <v>0</v>
      </c>
      <c r="T47" s="29">
        <f t="shared" si="173"/>
        <v>0</v>
      </c>
      <c r="U47" s="29">
        <f>SUMIFS('2026'!$B$8:$B$185,'2026'!$K$8:$K$185,"2026",'2026'!$J$8:$J$185,"&gt;4",'2026'!$R$8:$R$185,"область")</f>
        <v>0</v>
      </c>
      <c r="V47" s="29">
        <f>SUMIFS('2026'!$B$8:$B$185,'2026'!$K$8:$K$185,"2026",'2026'!$J$8:$J$185,"&gt;4",'2026'!$R$8:$R$185,"область",'2026'!$Q$8:$Q$185,"снесен")</f>
        <v>0</v>
      </c>
      <c r="W47" s="36">
        <f t="shared" si="109"/>
        <v>0</v>
      </c>
      <c r="X47" s="29"/>
      <c r="Y47" s="29">
        <f>SUMIFS('2026'!$N$8:$N$185,'2026'!$K$8:$K$185,"2026",'2026'!$J$8:$J$185,"&gt;4",'2026'!$R$8:$R$185,"область")</f>
        <v>0</v>
      </c>
      <c r="Z47" s="29">
        <f t="shared" si="136"/>
        <v>1</v>
      </c>
      <c r="AA47" s="29">
        <f>SUMIFS('2026'!$B$8:$B$185,'2026'!$K$8:$K$185,"2026",'2026'!$J$8:$J$185,"&gt;4",'2026'!$R$8:$R$185,"район")</f>
        <v>1</v>
      </c>
      <c r="AB47" s="29">
        <f>SUMIFS('2026'!$B$8:$B$185,'2026'!$K$8:$K$185,"2026",'2026'!$J$8:$J$185,"&gt;4",'2026'!$R$8:$R$185,"район",'2026'!$Q$8:$Q$185,"снесен")</f>
        <v>0</v>
      </c>
      <c r="AC47" s="36">
        <f t="shared" si="110"/>
        <v>0</v>
      </c>
      <c r="AD47" s="29"/>
      <c r="AE47" s="32">
        <f>SUMIFS('2026'!$N$8:$N$185,'2026'!$K$8:$K$185,"2026",'2026'!$J$8:$J$185,"&gt;4",'2026'!$R$8:$R$185,"район")</f>
        <v>9.1999999999999993</v>
      </c>
      <c r="AF47" s="37">
        <f t="shared" si="138"/>
        <v>0</v>
      </c>
      <c r="AG47" s="38">
        <f t="shared" si="174"/>
        <v>0</v>
      </c>
      <c r="AH47" s="38">
        <f t="shared" si="139"/>
        <v>0</v>
      </c>
      <c r="AI47" s="39">
        <f t="shared" si="111"/>
        <v>0</v>
      </c>
      <c r="AJ47" s="29">
        <f t="shared" si="175"/>
        <v>0</v>
      </c>
      <c r="AK47" s="32">
        <f t="shared" si="175"/>
        <v>0</v>
      </c>
      <c r="AL47" s="37">
        <f t="shared" si="140"/>
        <v>0</v>
      </c>
      <c r="AM47" s="29">
        <f>SUMIFS('2026'!$B$8:$B$185,'2026'!$K$8:$K$185,"2026",'2026'!$J$8:$J$185,"&gt;4",'2026'!$R$8:$R$185,"республика50б")</f>
        <v>0</v>
      </c>
      <c r="AN47" s="29">
        <f>SUMIFS('2026'!$B$8:$B$185,'2026'!$K$8:$K$185,"2026",'2026'!$J$8:$J$185,"&gt;4",'2026'!$R$8:$R$185,"республика50б",'2026'!$Q$8:$Q$185,"снесен")</f>
        <v>0</v>
      </c>
      <c r="AO47" s="36">
        <f t="shared" si="112"/>
        <v>0</v>
      </c>
      <c r="AP47" s="29"/>
      <c r="AQ47" s="29">
        <f>SUMIFS('2026'!$N$8:$N$185,'2026'!$K$8:$K$185,"2026",'2026'!$J$8:$J$185,"&gt;4",'2026'!$R$8:$R$185,"республика50б")</f>
        <v>0</v>
      </c>
      <c r="AR47" s="29">
        <f t="shared" si="142"/>
        <v>0</v>
      </c>
      <c r="AS47" s="29">
        <f>SUMIFS('2026'!$B$8:$B$185,'2026'!$K$8:$K$185,"2026",'2026'!$J$8:$J$185,"&gt;4",'2026'!$R$8:$R$185,"область50б")</f>
        <v>0</v>
      </c>
      <c r="AT47" s="29">
        <f>SUMIFS('2026'!$B$8:$B$185,'2026'!$K$8:$K$185,"2026",'2026'!$J$8:$J$185,"&gt;4",'2026'!$R$8:$R$185,"область50б",'2026'!$Q$8:$Q$185,"снесен")</f>
        <v>0</v>
      </c>
      <c r="AU47" s="36">
        <f t="shared" si="113"/>
        <v>0</v>
      </c>
      <c r="AV47" s="29"/>
      <c r="AW47" s="29">
        <f>SUMIFS('2026'!$N$8:$N$185,'2026'!$K$8:$K$185,"2026",'2026'!$J$8:$J$185,"&gt;4",'2026'!$R$8:$R$185,"область50б")</f>
        <v>0</v>
      </c>
      <c r="AX47" s="29">
        <f t="shared" si="144"/>
        <v>0</v>
      </c>
      <c r="AY47" s="29">
        <f>SUMIFS('2026'!$B$8:$B$185,'2026'!$K$8:$K$185,"2026",'2026'!$J$8:$J$185,"&gt;4",'2026'!$R$8:$R$185,"район50б")</f>
        <v>0</v>
      </c>
      <c r="AZ47" s="29">
        <f>SUMIFS('2026'!$B$8:$B$185,'2026'!$K$8:$K$185,"2026",'2026'!$J$8:$J$185,"&gt;4",'2026'!$R$8:$R$185,"район50б",'2026'!$Q$8:$Q$185,"снесен")</f>
        <v>0</v>
      </c>
      <c r="BA47" s="36">
        <f t="shared" si="114"/>
        <v>0</v>
      </c>
      <c r="BB47" s="29"/>
      <c r="BC47" s="32">
        <f>SUMIFS('2026'!$N$8:$N$185,'2026'!$K$8:$K$185,"2026",'2026'!$J$8:$J$185,"&gt;4",'2026'!$R$8:$R$185,"район50б")</f>
        <v>0</v>
      </c>
      <c r="BD47" s="37">
        <f t="shared" si="176"/>
        <v>0</v>
      </c>
      <c r="BE47" s="40">
        <f t="shared" si="177"/>
        <v>0</v>
      </c>
      <c r="BF47" s="40">
        <f t="shared" si="177"/>
        <v>0</v>
      </c>
      <c r="BG47" s="41">
        <f t="shared" si="115"/>
        <v>0</v>
      </c>
      <c r="BH47" s="29"/>
      <c r="BI47" s="32">
        <f t="shared" si="183"/>
        <v>0</v>
      </c>
      <c r="BJ47" s="37">
        <f t="shared" si="178"/>
        <v>0</v>
      </c>
      <c r="BK47" s="42">
        <f t="shared" si="179"/>
        <v>0</v>
      </c>
      <c r="BL47" s="42">
        <f t="shared" si="149"/>
        <v>0</v>
      </c>
      <c r="BM47" s="41">
        <f t="shared" si="116"/>
        <v>0</v>
      </c>
      <c r="BN47" s="29">
        <f t="shared" si="180"/>
        <v>0</v>
      </c>
      <c r="BO47" s="29">
        <f t="shared" si="180"/>
        <v>0</v>
      </c>
      <c r="BP47" s="29">
        <f t="shared" si="150"/>
        <v>0</v>
      </c>
      <c r="BQ47" s="29">
        <f>SUMIFS('2026'!$B$8:$B$185,'2026'!$K$8:$K$185,"2026",'2026'!$J$8:$J$185,"&gt;4",'2026'!$R$8:$R$185,"республика50м")</f>
        <v>0</v>
      </c>
      <c r="BR47" s="29">
        <f>SUMIFS('2026'!$B$8:$B$185,'2026'!$K$8:$K$185,"2026",'2026'!$J$8:$J$185,"&gt;4",'2026'!$R$8:$R$185,"республика50м",'2026'!$Q$8:$Q$185,"снесен")</f>
        <v>0</v>
      </c>
      <c r="BS47" s="36">
        <f t="shared" si="117"/>
        <v>0</v>
      </c>
      <c r="BT47" s="29"/>
      <c r="BU47" s="29">
        <f>SUMIFS('2026'!$N$8:$N$185,'2026'!$K$8:$K$185,"2026",'2026'!$J$8:$J$185,"&gt;4",'2026'!$R$8:$R$185,"республика50м")</f>
        <v>0</v>
      </c>
      <c r="BV47" s="29">
        <f t="shared" si="152"/>
        <v>0</v>
      </c>
      <c r="BW47" s="29">
        <f>SUMIFS('2026'!$B$8:$B$185,'2026'!$K$8:$K$185,"2026",'2026'!$J$8:$J$185,"&gt;4",'2026'!$R$8:$R$185,"область50м")</f>
        <v>0</v>
      </c>
      <c r="BX47" s="29">
        <f>SUMIFS('2026'!$B$8:$B$185,'2026'!$K$8:$K$185,"2026",'2026'!$J$8:$J$185,"&gt;4",'2026'!$R$8:$R$185,"область50м",'2026'!$Q$8:$Q$185,"снесен")</f>
        <v>0</v>
      </c>
      <c r="BY47" s="36">
        <f t="shared" si="118"/>
        <v>0</v>
      </c>
      <c r="BZ47" s="29"/>
      <c r="CA47" s="29">
        <f>SUMIFS('2026'!$N$8:$N$185,'2026'!$K$8:$K$185,"2026",'2026'!$J$8:$J$185,"&gt;4",'2026'!$R$8:$R$185,"область50м")</f>
        <v>0</v>
      </c>
      <c r="CB47" s="29">
        <f t="shared" si="154"/>
        <v>0</v>
      </c>
      <c r="CC47" s="29">
        <f>SUMIFS('2026'!$B$8:$B$185,'2026'!$K$8:$K$185,"2026",'2026'!$J$8:$J$185,"&gt;4",'2026'!$R$8:$R$185,"район50м")</f>
        <v>0</v>
      </c>
      <c r="CD47" s="29">
        <f>SUMIFS('2026'!$B$8:$B$185,'2026'!$K$8:$K$185,"2026",'2026'!$J$8:$J$185,"&gt;4",'2026'!$R$8:$R$185,"район50м",'2026'!$Q$8:$Q$185,"снесен")</f>
        <v>0</v>
      </c>
      <c r="CE47" s="36">
        <f t="shared" si="119"/>
        <v>0</v>
      </c>
      <c r="CF47" s="29"/>
      <c r="CG47" s="29">
        <f>SUMIFS('2026'!$N$8:$N$185,'2026'!$K$8:$K$185,"2026",'2026'!$J$8:$J$185,"&gt;4",'2026'!$R$8:$R$185,"район50м")</f>
        <v>0</v>
      </c>
      <c r="CH47" s="30">
        <f t="shared" si="181"/>
        <v>0</v>
      </c>
      <c r="CI47" s="29">
        <f>SUMIFS('2026'!$B$8:$B$185,'2026'!$K$8:$K$185,"2026",'2026'!$J$8:$J$185,"&gt;4",'2026'!$R$8:$R$185,"райпо")</f>
        <v>0</v>
      </c>
      <c r="CJ47" s="29">
        <f>SUMIFS('2026'!$B$8:$B$185,'2026'!$K$8:$K$185,"2026",'2026'!$J$8:$J$185,"&gt;4",'2026'!$R$8:$R$185,"райпо",'2026'!$Q$8:$Q$185,"снесен")</f>
        <v>0</v>
      </c>
      <c r="CK47" s="36">
        <f t="shared" si="120"/>
        <v>0</v>
      </c>
      <c r="CL47" s="29"/>
      <c r="CM47" s="29">
        <f>SUMIFS('2026'!$N$8:$N$185,'2026'!$K$8:$K$185,"2026",'2026'!$J$8:$J$185,"&gt;4",'2026'!$R$8:$R$185,"райпо")</f>
        <v>0</v>
      </c>
      <c r="CN47" s="43">
        <f t="shared" si="182"/>
        <v>0</v>
      </c>
      <c r="CO47" s="29">
        <f>SUMIFS('2026'!$B$8:$B$185,'2026'!$K$8:$K$185,"2026",'2026'!$J$8:$J$185,"&gt;4",'2026'!$R$8:$R$185,"инаяч")</f>
        <v>0</v>
      </c>
      <c r="CP47" s="29">
        <f>SUMIFS('2026'!$B$8:$B$185,'2026'!$K$8:$K$185,"2026",'2026'!$J$8:$J$185,"&gt;4",'2026'!$R$8:$R$185,"инаяч",'2026'!$Q$8:$Q$185,"снесен")</f>
        <v>0</v>
      </c>
      <c r="CQ47" s="36">
        <f t="shared" si="121"/>
        <v>0</v>
      </c>
      <c r="CR47" s="29"/>
      <c r="CS47" s="32">
        <f>SUMIFS('2026'!$N$8:$N$185,'2026'!$K$8:$K$185,"2026",'2026'!$J$8:$J$185,"&gt;4",'2026'!$R$8:$R$185,"инаяч")</f>
        <v>0</v>
      </c>
      <c r="CT47" s="44">
        <f t="shared" si="160"/>
        <v>0</v>
      </c>
      <c r="CU47" s="29">
        <f>SUMIFS('2026'!$B$8:$B$185,'2026'!$K$8:$K$185,"2026",'2026'!$J$8:$J$185,"&gt;4",'2026'!$R$8:$R$185,"бесхозяйное")</f>
        <v>0</v>
      </c>
      <c r="CV47" s="29">
        <f>SUMIFS('2026'!$B$8:$B$185,'2026'!$K$8:$K$185,"2026",'2026'!$J$8:$J$185,"&gt;4",'2026'!$R$8:$R$185,"бесхозяйное",'2026'!$Q$8:$Q$185,"снесен")</f>
        <v>0</v>
      </c>
      <c r="CW47" s="36">
        <f t="shared" si="122"/>
        <v>0</v>
      </c>
      <c r="CX47" s="29"/>
      <c r="CY47" s="32">
        <f>SUMIFS('2026'!$N$8:$N$185,'2026'!$K$8:$K$185,"2026",'2026'!$J$8:$J$185,"&gt;4",'2026'!$R$8:$R$185,"бесхозяйное")</f>
        <v>0</v>
      </c>
      <c r="DB47" s="46">
        <f t="shared" si="123"/>
        <v>0</v>
      </c>
      <c r="DC47" s="38">
        <f t="shared" si="184"/>
        <v>0</v>
      </c>
      <c r="DD47" s="38">
        <f t="shared" si="184"/>
        <v>0</v>
      </c>
      <c r="DE47" s="39">
        <f t="shared" si="185"/>
        <v>0</v>
      </c>
      <c r="DF47" s="47">
        <f t="shared" si="186"/>
        <v>0</v>
      </c>
      <c r="DG47" s="48">
        <f t="shared" si="186"/>
        <v>0</v>
      </c>
      <c r="DH47" s="49">
        <f t="shared" si="187"/>
        <v>0</v>
      </c>
      <c r="DI47" s="47">
        <f t="shared" si="187"/>
        <v>0</v>
      </c>
      <c r="DJ47" s="47">
        <f t="shared" si="187"/>
        <v>0</v>
      </c>
      <c r="DK47" s="50">
        <f t="shared" si="124"/>
        <v>0</v>
      </c>
      <c r="DL47" s="47"/>
      <c r="DM47" s="48">
        <f t="shared" si="188"/>
        <v>0</v>
      </c>
      <c r="DN47" s="49">
        <f t="shared" si="188"/>
        <v>0</v>
      </c>
      <c r="DO47" s="47">
        <f t="shared" si="188"/>
        <v>0</v>
      </c>
      <c r="DP47" s="47">
        <f t="shared" si="188"/>
        <v>0</v>
      </c>
      <c r="DQ47" s="50">
        <f t="shared" si="125"/>
        <v>0</v>
      </c>
      <c r="DR47" s="47"/>
      <c r="DS47" s="48">
        <f t="shared" si="189"/>
        <v>0</v>
      </c>
      <c r="DT47" s="49">
        <f t="shared" si="189"/>
        <v>0</v>
      </c>
      <c r="DU47" s="47">
        <f t="shared" si="189"/>
        <v>0</v>
      </c>
      <c r="DV47" s="47">
        <f t="shared" si="189"/>
        <v>0</v>
      </c>
      <c r="DW47" s="50">
        <f t="shared" si="126"/>
        <v>0</v>
      </c>
      <c r="DX47" s="47"/>
      <c r="DY47" s="48">
        <f>BC47+CG47</f>
        <v>0</v>
      </c>
    </row>
    <row r="48" spans="1:129" s="45" customFormat="1" ht="15.75" x14ac:dyDescent="0.25">
      <c r="A48" s="67">
        <v>2027</v>
      </c>
      <c r="B48" s="42">
        <f t="shared" si="127"/>
        <v>11</v>
      </c>
      <c r="C48" s="30"/>
      <c r="D48" s="30"/>
      <c r="E48" s="31"/>
      <c r="F48" s="42">
        <f t="shared" si="129"/>
        <v>11</v>
      </c>
      <c r="G48" s="52">
        <f t="shared" si="129"/>
        <v>61.199999999999996</v>
      </c>
      <c r="H48" s="53">
        <f t="shared" si="169"/>
        <v>3</v>
      </c>
      <c r="I48" s="34"/>
      <c r="J48" s="34"/>
      <c r="K48" s="35"/>
      <c r="L48" s="42">
        <f t="shared" si="171"/>
        <v>3</v>
      </c>
      <c r="M48" s="52">
        <f t="shared" si="171"/>
        <v>29</v>
      </c>
      <c r="N48" s="53">
        <f t="shared" si="172"/>
        <v>0</v>
      </c>
      <c r="O48" s="54"/>
      <c r="P48" s="54"/>
      <c r="Q48" s="41"/>
      <c r="R48" s="54">
        <f>SUM(R49:R52)</f>
        <v>0</v>
      </c>
      <c r="S48" s="54">
        <f>SUM(S49:S52)</f>
        <v>0</v>
      </c>
      <c r="T48" s="42">
        <f t="shared" si="173"/>
        <v>0</v>
      </c>
      <c r="U48" s="54"/>
      <c r="V48" s="54"/>
      <c r="W48" s="41"/>
      <c r="X48" s="54">
        <f>SUM(X49:X52)</f>
        <v>0</v>
      </c>
      <c r="Y48" s="54">
        <f>SUM(Y49:Y52)</f>
        <v>0</v>
      </c>
      <c r="Z48" s="42">
        <f t="shared" si="136"/>
        <v>3</v>
      </c>
      <c r="AA48" s="54"/>
      <c r="AB48" s="54"/>
      <c r="AC48" s="41"/>
      <c r="AD48" s="54">
        <f>SUM(AD49:AD52)</f>
        <v>3</v>
      </c>
      <c r="AE48" s="55">
        <f>SUM(AE49:AE52)</f>
        <v>29</v>
      </c>
      <c r="AF48" s="56">
        <f t="shared" si="138"/>
        <v>6</v>
      </c>
      <c r="AG48" s="38"/>
      <c r="AH48" s="38"/>
      <c r="AI48" s="39"/>
      <c r="AJ48" s="42">
        <f t="shared" si="175"/>
        <v>6</v>
      </c>
      <c r="AK48" s="52">
        <f t="shared" si="175"/>
        <v>26.9</v>
      </c>
      <c r="AL48" s="56">
        <f t="shared" si="140"/>
        <v>0</v>
      </c>
      <c r="AM48" s="54"/>
      <c r="AN48" s="54"/>
      <c r="AO48" s="41"/>
      <c r="AP48" s="54">
        <f>SUM(AP49:AP52)</f>
        <v>0</v>
      </c>
      <c r="AQ48" s="54">
        <f>SUM(AQ49:AQ52)</f>
        <v>0</v>
      </c>
      <c r="AR48" s="42">
        <f t="shared" si="142"/>
        <v>1</v>
      </c>
      <c r="AS48" s="54"/>
      <c r="AT48" s="54"/>
      <c r="AU48" s="41"/>
      <c r="AV48" s="54">
        <f>SUM(AV49:AV52)</f>
        <v>1</v>
      </c>
      <c r="AW48" s="54">
        <f>SUM(AW49:AW52)</f>
        <v>3.5</v>
      </c>
      <c r="AX48" s="42">
        <f t="shared" si="144"/>
        <v>5</v>
      </c>
      <c r="AY48" s="54"/>
      <c r="AZ48" s="54"/>
      <c r="BA48" s="41"/>
      <c r="BB48" s="54">
        <f>SUM(BB49:BB52)</f>
        <v>5</v>
      </c>
      <c r="BC48" s="55">
        <f>SUM(BC49:BC52)</f>
        <v>23.4</v>
      </c>
      <c r="BD48" s="57">
        <f t="shared" si="176"/>
        <v>2</v>
      </c>
      <c r="BE48" s="58">
        <f t="shared" si="177"/>
        <v>0</v>
      </c>
      <c r="BF48" s="58">
        <f t="shared" si="177"/>
        <v>0</v>
      </c>
      <c r="BG48" s="59">
        <f t="shared" si="115"/>
        <v>0</v>
      </c>
      <c r="BH48" s="54">
        <f t="shared" ref="BH48:BH67" si="190">BN48+CL48+CR48</f>
        <v>2</v>
      </c>
      <c r="BI48" s="55">
        <f t="shared" si="183"/>
        <v>5.3</v>
      </c>
      <c r="BJ48" s="57">
        <f t="shared" si="178"/>
        <v>0</v>
      </c>
      <c r="BK48" s="54"/>
      <c r="BL48" s="54"/>
      <c r="BM48" s="59"/>
      <c r="BN48" s="54">
        <f t="shared" si="180"/>
        <v>0</v>
      </c>
      <c r="BO48" s="54">
        <f t="shared" si="180"/>
        <v>0</v>
      </c>
      <c r="BP48" s="54">
        <f t="shared" si="150"/>
        <v>0</v>
      </c>
      <c r="BQ48" s="54"/>
      <c r="BR48" s="54"/>
      <c r="BS48" s="41"/>
      <c r="BT48" s="54">
        <f>SUM(BT49:BT52)</f>
        <v>0</v>
      </c>
      <c r="BU48" s="54">
        <f>SUM(BU49:BU52)</f>
        <v>0</v>
      </c>
      <c r="BV48" s="54">
        <f t="shared" si="152"/>
        <v>0</v>
      </c>
      <c r="BW48" s="54"/>
      <c r="BX48" s="54"/>
      <c r="BY48" s="41"/>
      <c r="BZ48" s="54">
        <f>SUM(BZ49:BZ52)</f>
        <v>0</v>
      </c>
      <c r="CA48" s="54">
        <f>SUM(CA49:CA52)</f>
        <v>0</v>
      </c>
      <c r="CB48" s="42">
        <f t="shared" si="154"/>
        <v>0</v>
      </c>
      <c r="CC48" s="54"/>
      <c r="CD48" s="54"/>
      <c r="CE48" s="41"/>
      <c r="CF48" s="54">
        <f>SUM(CF49:CF52)</f>
        <v>0</v>
      </c>
      <c r="CG48" s="54">
        <f>SUM(CG49:CG52)</f>
        <v>0</v>
      </c>
      <c r="CH48" s="30">
        <f t="shared" si="181"/>
        <v>2</v>
      </c>
      <c r="CI48" s="54"/>
      <c r="CJ48" s="54"/>
      <c r="CK48" s="41"/>
      <c r="CL48" s="54">
        <f>SUM(CL49:CL52)</f>
        <v>2</v>
      </c>
      <c r="CM48" s="54">
        <f>SUM(CM49:CM52)</f>
        <v>5.3</v>
      </c>
      <c r="CN48" s="43">
        <f t="shared" si="182"/>
        <v>0</v>
      </c>
      <c r="CO48" s="54"/>
      <c r="CP48" s="54"/>
      <c r="CQ48" s="41"/>
      <c r="CR48" s="54">
        <f>SUM(CR49:CR52)</f>
        <v>0</v>
      </c>
      <c r="CS48" s="55">
        <f>SUM(CS49:CS52)</f>
        <v>0</v>
      </c>
      <c r="CT48" s="44">
        <f t="shared" si="160"/>
        <v>0</v>
      </c>
      <c r="CU48" s="54"/>
      <c r="CV48" s="54"/>
      <c r="CW48" s="41"/>
      <c r="CX48" s="54">
        <f>SUM(CX49:CX52)</f>
        <v>0</v>
      </c>
      <c r="CY48" s="55">
        <f>SUM(CY49:CY52)</f>
        <v>0</v>
      </c>
      <c r="DB48" s="60">
        <f t="shared" si="123"/>
        <v>6</v>
      </c>
      <c r="DC48" s="61">
        <f>SUM(DC49:DC52)</f>
        <v>0</v>
      </c>
      <c r="DD48" s="61">
        <f>SUM(DD49:DD52)</f>
        <v>0</v>
      </c>
      <c r="DE48" s="62">
        <f>IFERROR(DD48/DC48*100,0)</f>
        <v>0</v>
      </c>
      <c r="DF48" s="63">
        <f>SUM(DF49:DF52)</f>
        <v>6</v>
      </c>
      <c r="DG48" s="64">
        <f>SUM(DG49:DG52)</f>
        <v>26.9</v>
      </c>
      <c r="DH48" s="65">
        <f>DI48+DL48</f>
        <v>0</v>
      </c>
      <c r="DI48" s="63"/>
      <c r="DJ48" s="63"/>
      <c r="DK48" s="66"/>
      <c r="DL48" s="63">
        <f>SUM(DL49:DL52)</f>
        <v>0</v>
      </c>
      <c r="DM48" s="64">
        <f>SUM(DM49:DM52)</f>
        <v>0</v>
      </c>
      <c r="DN48" s="65">
        <f>DO48+DR48</f>
        <v>1</v>
      </c>
      <c r="DO48" s="63"/>
      <c r="DP48" s="63"/>
      <c r="DQ48" s="66"/>
      <c r="DR48" s="63">
        <f>SUM(DR49:DR52)</f>
        <v>1</v>
      </c>
      <c r="DS48" s="64">
        <f>SUM(DS49:DS52)</f>
        <v>3.5</v>
      </c>
      <c r="DT48" s="65">
        <f>DU48+DX48</f>
        <v>5</v>
      </c>
      <c r="DU48" s="63"/>
      <c r="DV48" s="63"/>
      <c r="DW48" s="66"/>
      <c r="DX48" s="63">
        <f>SUM(DX49:DX52)</f>
        <v>5</v>
      </c>
      <c r="DY48" s="64">
        <f>SUM(DY49:DY52)</f>
        <v>23.4</v>
      </c>
    </row>
    <row r="49" spans="1:129" s="45" customFormat="1" ht="15.75" customHeight="1" x14ac:dyDescent="0.25">
      <c r="A49" s="28" t="s">
        <v>176</v>
      </c>
      <c r="B49" s="29">
        <f t="shared" si="127"/>
        <v>3</v>
      </c>
      <c r="C49" s="30"/>
      <c r="D49" s="30"/>
      <c r="E49" s="31"/>
      <c r="F49" s="29">
        <f t="shared" si="129"/>
        <v>3</v>
      </c>
      <c r="G49" s="32">
        <f t="shared" si="129"/>
        <v>5.8</v>
      </c>
      <c r="H49" s="33">
        <f t="shared" si="169"/>
        <v>1</v>
      </c>
      <c r="I49" s="34"/>
      <c r="J49" s="34"/>
      <c r="K49" s="35"/>
      <c r="L49" s="29">
        <f t="shared" si="171"/>
        <v>1</v>
      </c>
      <c r="M49" s="32">
        <f t="shared" si="171"/>
        <v>1</v>
      </c>
      <c r="N49" s="33">
        <f t="shared" si="172"/>
        <v>0</v>
      </c>
      <c r="O49" s="63"/>
      <c r="P49" s="63"/>
      <c r="Q49" s="36"/>
      <c r="R49" s="29">
        <f>SUMIFS('2026'!$B$8:$B$185,'2026'!$K$8:$K$185,"2027",'2026'!$J$8:$J$185,"&lt;3",'2026'!$R$8:$R$185,"республика")</f>
        <v>0</v>
      </c>
      <c r="S49" s="29">
        <f>SUMIFS('2026'!$N$8:$N$185,'2026'!$K$8:$K$185,"2027",'2026'!$J$8:$J$185,"&lt;3",'2026'!$R$8:$R$185,"республика")</f>
        <v>0</v>
      </c>
      <c r="T49" s="29">
        <f t="shared" si="173"/>
        <v>0</v>
      </c>
      <c r="U49" s="63"/>
      <c r="V49" s="63"/>
      <c r="W49" s="36"/>
      <c r="X49" s="29">
        <f>SUMIFS('2026'!$B$8:$B$185,'2026'!$K$8:$K$185,"2027",'2026'!$J$8:$J$185,"&lt;3",'2026'!$R$8:$R$185,"область")</f>
        <v>0</v>
      </c>
      <c r="Y49" s="29">
        <f>SUMIFS('2026'!$N$8:$N$185,'2026'!$K$8:$K$185,"2027",'2026'!$J$8:$J$185,"&lt;3",'2026'!$R$8:$R$185,"область")</f>
        <v>0</v>
      </c>
      <c r="Z49" s="29">
        <f t="shared" si="136"/>
        <v>1</v>
      </c>
      <c r="AA49" s="63"/>
      <c r="AB49" s="63"/>
      <c r="AC49" s="36"/>
      <c r="AD49" s="29">
        <f>SUMIFS('2026'!$B$8:$B$185,'2026'!$K$8:$K$185,"2027",'2026'!$J$8:$J$185,"&lt;3",'2026'!$R$8:$R$185,"район")</f>
        <v>1</v>
      </c>
      <c r="AE49" s="32">
        <f>SUMIFS('2026'!$N$8:$N$185,'2026'!$K$8:$K$185,"2027",'2026'!$J$8:$J$185,"&lt;3",'2026'!$R$8:$R$185,"район")</f>
        <v>1</v>
      </c>
      <c r="AF49" s="37">
        <f t="shared" si="138"/>
        <v>1</v>
      </c>
      <c r="AG49" s="38"/>
      <c r="AH49" s="38"/>
      <c r="AI49" s="39"/>
      <c r="AJ49" s="29">
        <f>AP49+AV49+BB49</f>
        <v>1</v>
      </c>
      <c r="AK49" s="32">
        <f t="shared" si="175"/>
        <v>3</v>
      </c>
      <c r="AL49" s="37">
        <f t="shared" si="140"/>
        <v>0</v>
      </c>
      <c r="AM49" s="63"/>
      <c r="AN49" s="63"/>
      <c r="AO49" s="36"/>
      <c r="AP49" s="29">
        <f>SUMIFS('2026'!$B$8:$B$185,'2026'!$K$8:$K$185,"2027",'2026'!$J$8:$J$185,"&lt;3",'2026'!$R$8:$R$185,"республика50б")</f>
        <v>0</v>
      </c>
      <c r="AQ49" s="29">
        <f>SUMIFS('2026'!$N$8:$N$185,'2026'!$K$8:$K$185,"2027",'2026'!$J$8:$J$185,"&lt;3",'2026'!$R$8:$R$185,"республика50б")</f>
        <v>0</v>
      </c>
      <c r="AR49" s="29">
        <f t="shared" si="142"/>
        <v>0</v>
      </c>
      <c r="AS49" s="63"/>
      <c r="AT49" s="63"/>
      <c r="AU49" s="36"/>
      <c r="AV49" s="29">
        <f>SUMIFS('2026'!$B$8:$B$185,'2026'!$K$8:$K$185,"2027",'2026'!$J$8:$J$185,"&lt;3",'2026'!$R$8:$R$185,"область50б")</f>
        <v>0</v>
      </c>
      <c r="AW49" s="29">
        <f>SUMIFS('2026'!$N$8:$N$185,'2026'!$K$8:$K$185,"2027",'2026'!$J$8:$J$185,"&lt;3",'2026'!$R$8:$R$185,"область50б")</f>
        <v>0</v>
      </c>
      <c r="AX49" s="29">
        <f t="shared" si="144"/>
        <v>1</v>
      </c>
      <c r="AY49" s="63"/>
      <c r="AZ49" s="63"/>
      <c r="BA49" s="36"/>
      <c r="BB49" s="29">
        <f>SUMIFS('2026'!$B$8:$B$185,'2026'!$K$8:$K$185,"2027",'2026'!$J$8:$J$185,"&lt;3",'2026'!$R$8:$R$185,"район50б")</f>
        <v>1</v>
      </c>
      <c r="BC49" s="32">
        <f>SUMIFS('2026'!$N$8:$N$185,'2026'!$K$8:$K$185,"2027",'2026'!$J$8:$J$185,"&lt;3",'2026'!$R$8:$R$185,"район50б")</f>
        <v>3</v>
      </c>
      <c r="BD49" s="37">
        <f t="shared" si="176"/>
        <v>1</v>
      </c>
      <c r="BE49" s="40">
        <f t="shared" si="177"/>
        <v>0</v>
      </c>
      <c r="BF49" s="40">
        <f t="shared" si="177"/>
        <v>0</v>
      </c>
      <c r="BG49" s="41"/>
      <c r="BH49" s="29">
        <f t="shared" si="190"/>
        <v>1</v>
      </c>
      <c r="BI49" s="32">
        <f t="shared" si="183"/>
        <v>1.8</v>
      </c>
      <c r="BJ49" s="37">
        <f t="shared" si="178"/>
        <v>0</v>
      </c>
      <c r="BK49" s="42"/>
      <c r="BL49" s="42"/>
      <c r="BM49" s="41"/>
      <c r="BN49" s="29">
        <f t="shared" si="180"/>
        <v>0</v>
      </c>
      <c r="BO49" s="29">
        <f t="shared" si="180"/>
        <v>0</v>
      </c>
      <c r="BP49" s="29">
        <f t="shared" si="150"/>
        <v>0</v>
      </c>
      <c r="BQ49" s="63"/>
      <c r="BR49" s="63"/>
      <c r="BS49" s="36"/>
      <c r="BT49" s="29">
        <f>SUMIFS('2026'!$B$8:$B$185,'2026'!$K$8:$K$185,"2027",'2026'!$J$8:$J$185,"&lt;3",'2026'!$R$8:$R$185,"республика50м")</f>
        <v>0</v>
      </c>
      <c r="BU49" s="29">
        <f>SUMIFS('2026'!$N$8:$N$185,'2026'!$K$8:$K$185,"2027",'2026'!$J$8:$J$185,"&lt;3",'2026'!$R$8:$R$185,"республика50м")</f>
        <v>0</v>
      </c>
      <c r="BV49" s="29">
        <f t="shared" si="152"/>
        <v>0</v>
      </c>
      <c r="BW49" s="63"/>
      <c r="BX49" s="63"/>
      <c r="BY49" s="36"/>
      <c r="BZ49" s="29">
        <f>SUMIFS('2026'!$B$8:$B$185,'2026'!$K$8:$K$185,"2027",'2026'!$J$8:$J$185,"&lt;3",'2026'!$R$8:$R$185,"область50м")</f>
        <v>0</v>
      </c>
      <c r="CA49" s="29">
        <f>SUMIFS('2026'!$N$8:$N$185,'2026'!$K$8:$K$185,"2027",'2026'!$J$8:$J$185,"&lt;3",'2026'!$R$8:$R$185,"область50м")</f>
        <v>0</v>
      </c>
      <c r="CB49" s="29">
        <f t="shared" si="154"/>
        <v>0</v>
      </c>
      <c r="CC49" s="63"/>
      <c r="CD49" s="63"/>
      <c r="CE49" s="36"/>
      <c r="CF49" s="29">
        <f>SUMIFS('2026'!$B$8:$B$185,'2026'!$K$8:$K$185,"2027",'2026'!$J$8:$J$185,"&lt;3",'2026'!$R$8:$R$185,"район50м")</f>
        <v>0</v>
      </c>
      <c r="CG49" s="29">
        <f>SUMIFS('2026'!$N$8:$N$185,'2026'!$K$8:$K$185,"2027",'2026'!$J$8:$J$185,"&lt;3",'2026'!$R$8:$R$185,"район50м")</f>
        <v>0</v>
      </c>
      <c r="CH49" s="30">
        <f t="shared" si="181"/>
        <v>1</v>
      </c>
      <c r="CI49" s="63"/>
      <c r="CJ49" s="63"/>
      <c r="CK49" s="36"/>
      <c r="CL49" s="29">
        <f>SUMIFS('2026'!$B$8:$B$185,'2026'!$K$8:$K$185,"2027",'2026'!$J$8:$J$185,"&lt;3",'2026'!$R$8:$R$185,"райпо")</f>
        <v>1</v>
      </c>
      <c r="CM49" s="29">
        <f>SUMIFS('2026'!$N$8:$N$185,'2026'!$K$8:$K$185,"2027",'2026'!$J$8:$J$185,"&lt;3",'2026'!$R$8:$R$185,"райпо")</f>
        <v>1.8</v>
      </c>
      <c r="CN49" s="43">
        <f t="shared" si="182"/>
        <v>0</v>
      </c>
      <c r="CO49" s="63"/>
      <c r="CP49" s="63"/>
      <c r="CQ49" s="36"/>
      <c r="CR49" s="29">
        <f>SUMIFS('2026'!$B$8:$B$185,'2026'!$K$8:$K$185,"2027",'2026'!$J$8:$J$185,"&lt;3",'2026'!$R$8:$R$185,"инаяч")</f>
        <v>0</v>
      </c>
      <c r="CS49" s="32">
        <f>SUMIFS('2026'!$N$8:$N$185,'2026'!$K$8:$K$185,"2027",'2026'!$J$8:$J$185,"&lt;3",'2026'!$R$8:$R$185,"инаяч")</f>
        <v>0</v>
      </c>
      <c r="CT49" s="44">
        <f t="shared" si="160"/>
        <v>0</v>
      </c>
      <c r="CU49" s="63"/>
      <c r="CV49" s="63"/>
      <c r="CW49" s="36"/>
      <c r="CX49" s="29">
        <f>SUMIFS('2026'!$B$8:$B$185,'2026'!$K$8:$K$185,"2027",'2026'!$J$8:$J$185,"&lt;3",'2026'!$R$8:$R$185,"бесхозяйное")</f>
        <v>0</v>
      </c>
      <c r="CY49" s="32">
        <f>SUMIFS('2026'!$N$8:$N$185,'2026'!$K$8:$K$185,"2027",'2026'!$J$8:$J$185,"&lt;3",'2026'!$R$8:$R$185,"бесхозяйное")</f>
        <v>0</v>
      </c>
      <c r="DB49" s="46">
        <f t="shared" si="123"/>
        <v>1</v>
      </c>
      <c r="DC49" s="38">
        <f t="shared" ref="DC49:DD52" si="191">DI49+DO49+DU49</f>
        <v>0</v>
      </c>
      <c r="DD49" s="38">
        <f t="shared" si="191"/>
        <v>0</v>
      </c>
      <c r="DE49" s="39">
        <f t="shared" ref="DE49:DE52" si="192">IFERROR(DD49/DC49*100,0)</f>
        <v>0</v>
      </c>
      <c r="DF49" s="47">
        <f t="shared" ref="DF49:DG52" si="193">DL49+DR49+DX49</f>
        <v>1</v>
      </c>
      <c r="DG49" s="48">
        <f t="shared" si="193"/>
        <v>3</v>
      </c>
      <c r="DH49" s="49">
        <f>AL49+BP49</f>
        <v>0</v>
      </c>
      <c r="DI49" s="47"/>
      <c r="DJ49" s="47"/>
      <c r="DK49" s="50"/>
      <c r="DL49" s="47">
        <f t="shared" ref="DL49:DN52" si="194">AP49+BT49</f>
        <v>0</v>
      </c>
      <c r="DM49" s="48">
        <f t="shared" si="194"/>
        <v>0</v>
      </c>
      <c r="DN49" s="49">
        <f t="shared" si="194"/>
        <v>0</v>
      </c>
      <c r="DO49" s="47"/>
      <c r="DP49" s="47"/>
      <c r="DQ49" s="50"/>
      <c r="DR49" s="47">
        <f t="shared" ref="DR49:DT52" si="195">AV49+BZ49</f>
        <v>0</v>
      </c>
      <c r="DS49" s="48">
        <f t="shared" si="195"/>
        <v>0</v>
      </c>
      <c r="DT49" s="49">
        <f t="shared" si="195"/>
        <v>1</v>
      </c>
      <c r="DU49" s="47"/>
      <c r="DV49" s="47"/>
      <c r="DW49" s="50"/>
      <c r="DX49" s="47">
        <f t="shared" ref="DX49:DY52" si="196">BB49+CF49</f>
        <v>1</v>
      </c>
      <c r="DY49" s="48">
        <f t="shared" si="196"/>
        <v>3</v>
      </c>
    </row>
    <row r="50" spans="1:129" s="45" customFormat="1" ht="15.75" customHeight="1" x14ac:dyDescent="0.25">
      <c r="A50" s="28" t="s">
        <v>177</v>
      </c>
      <c r="B50" s="29">
        <f t="shared" si="127"/>
        <v>5</v>
      </c>
      <c r="C50" s="30"/>
      <c r="D50" s="30"/>
      <c r="E50" s="31"/>
      <c r="F50" s="29">
        <f t="shared" si="129"/>
        <v>5</v>
      </c>
      <c r="G50" s="32">
        <f t="shared" si="129"/>
        <v>46.5</v>
      </c>
      <c r="H50" s="33">
        <f t="shared" si="169"/>
        <v>1</v>
      </c>
      <c r="I50" s="34"/>
      <c r="J50" s="34"/>
      <c r="K50" s="35"/>
      <c r="L50" s="29">
        <f t="shared" si="171"/>
        <v>1</v>
      </c>
      <c r="M50" s="32">
        <f t="shared" si="171"/>
        <v>25</v>
      </c>
      <c r="N50" s="33">
        <f t="shared" si="172"/>
        <v>0</v>
      </c>
      <c r="O50" s="63"/>
      <c r="P50" s="63"/>
      <c r="Q50" s="36"/>
      <c r="R50" s="29">
        <f>SUMIFS('2026'!$B$8:$B$185,'2026'!$K$8:$K$185,"2027",'2026'!$J$8:$J$185,"3",'2026'!$R$8:$R$185,"республика")</f>
        <v>0</v>
      </c>
      <c r="S50" s="29">
        <f>SUMIFS('2026'!$N$8:$N$185,'2026'!$K$8:$K$185,"2027",'2026'!$J$8:$J$185,"3",'2026'!$R$8:$R$185,"республика")</f>
        <v>0</v>
      </c>
      <c r="T50" s="29">
        <f t="shared" si="173"/>
        <v>0</v>
      </c>
      <c r="U50" s="63"/>
      <c r="V50" s="63"/>
      <c r="W50" s="36"/>
      <c r="X50" s="29">
        <f>SUMIFS('2026'!$B$8:$B$185,'2026'!$K$8:$K$185,"2027",'2026'!$J$8:$J$185,"3",'2026'!$R$8:$R$185,"область")</f>
        <v>0</v>
      </c>
      <c r="Y50" s="29">
        <f>SUMIFS('2026'!$N$8:$N$185,'2026'!$K$8:$K$185,"2027",'2026'!$J$8:$J$185,"3",'2026'!$R$8:$R$185,"область")</f>
        <v>0</v>
      </c>
      <c r="Z50" s="29">
        <f t="shared" si="136"/>
        <v>1</v>
      </c>
      <c r="AA50" s="63"/>
      <c r="AB50" s="63"/>
      <c r="AC50" s="36"/>
      <c r="AD50" s="29">
        <f>SUMIFS('2026'!$B$8:$B$185,'2026'!$K$8:$K$185,"2027",'2026'!$J$8:$J$185,"3",'2026'!$R$8:$R$185,"район")</f>
        <v>1</v>
      </c>
      <c r="AE50" s="32">
        <f>SUMIFS('2026'!$N$8:$N$185,'2026'!$K$8:$K$185,"2027",'2026'!$J$8:$J$185,"3",'2026'!$R$8:$R$185,"район")</f>
        <v>25</v>
      </c>
      <c r="AF50" s="37">
        <f t="shared" si="138"/>
        <v>3</v>
      </c>
      <c r="AG50" s="38"/>
      <c r="AH50" s="38"/>
      <c r="AI50" s="39"/>
      <c r="AJ50" s="29">
        <f>AP50+AV50+BB50</f>
        <v>3</v>
      </c>
      <c r="AK50" s="32">
        <f t="shared" si="175"/>
        <v>18</v>
      </c>
      <c r="AL50" s="37">
        <f t="shared" si="140"/>
        <v>0</v>
      </c>
      <c r="AM50" s="63"/>
      <c r="AN50" s="63"/>
      <c r="AO50" s="36"/>
      <c r="AP50" s="29">
        <f>SUMIFS('2026'!$B$8:$B$185,'2026'!$K$8:$K$185,"2027",'2026'!$J$8:$J$185,"3",'2026'!$R$8:$R$185,"республика50б")</f>
        <v>0</v>
      </c>
      <c r="AQ50" s="29">
        <f>SUMIFS('2026'!$N$8:$N$185,'2026'!$K$8:$K$185,"2027",'2026'!$J$8:$J$185,"3",'2026'!$R$8:$R$185,"республика50б")</f>
        <v>0</v>
      </c>
      <c r="AR50" s="29">
        <f t="shared" si="142"/>
        <v>0</v>
      </c>
      <c r="AS50" s="63"/>
      <c r="AT50" s="63"/>
      <c r="AU50" s="36"/>
      <c r="AV50" s="29">
        <f>SUMIFS('2026'!$B$8:$B$185,'2026'!$K$8:$K$185,"2027",'2026'!$J$8:$J$185,"3",'2026'!$R$8:$R$185,"область50б")</f>
        <v>0</v>
      </c>
      <c r="AW50" s="29">
        <f>SUMIFS('2026'!$N$8:$N$185,'2026'!$K$8:$K$185,"2027",'2026'!$J$8:$J$185,"3",'2026'!$R$8:$R$185,"область50б")</f>
        <v>0</v>
      </c>
      <c r="AX50" s="29">
        <f t="shared" si="144"/>
        <v>3</v>
      </c>
      <c r="AY50" s="63"/>
      <c r="AZ50" s="63"/>
      <c r="BA50" s="36"/>
      <c r="BB50" s="29">
        <f>SUMIFS('2026'!$B$8:$B$185,'2026'!$K$8:$K$185,"2027",'2026'!$J$8:$J$185,"3",'2026'!$R$8:$R$185,"район50б")</f>
        <v>3</v>
      </c>
      <c r="BC50" s="32">
        <f>SUMIFS('2026'!$N$8:$N$185,'2026'!$K$8:$K$185,"2027",'2026'!$J$8:$J$185,"3",'2026'!$R$8:$R$185,"район50б")</f>
        <v>18</v>
      </c>
      <c r="BD50" s="37">
        <f t="shared" si="176"/>
        <v>1</v>
      </c>
      <c r="BE50" s="40">
        <f t="shared" si="177"/>
        <v>0</v>
      </c>
      <c r="BF50" s="40">
        <f t="shared" si="177"/>
        <v>0</v>
      </c>
      <c r="BG50" s="41"/>
      <c r="BH50" s="29">
        <f t="shared" si="190"/>
        <v>1</v>
      </c>
      <c r="BI50" s="32">
        <f t="shared" si="183"/>
        <v>3.5</v>
      </c>
      <c r="BJ50" s="37">
        <f t="shared" si="178"/>
        <v>0</v>
      </c>
      <c r="BK50" s="42"/>
      <c r="BL50" s="42"/>
      <c r="BM50" s="41"/>
      <c r="BN50" s="29">
        <f t="shared" si="180"/>
        <v>0</v>
      </c>
      <c r="BO50" s="29">
        <f t="shared" si="180"/>
        <v>0</v>
      </c>
      <c r="BP50" s="29">
        <f t="shared" si="150"/>
        <v>0</v>
      </c>
      <c r="BQ50" s="63"/>
      <c r="BR50" s="63"/>
      <c r="BS50" s="36"/>
      <c r="BT50" s="29">
        <f>SUMIFS('2026'!$B$8:$B$185,'2026'!$K$8:$K$185,"2027",'2026'!$J$8:$J$185,"3",'2026'!$R$8:$R$185,"республика50м")</f>
        <v>0</v>
      </c>
      <c r="BU50" s="29">
        <f>SUMIFS('2026'!$N$8:$N$185,'2026'!$K$8:$K$185,"2027",'2026'!$J$8:$J$185,"3",'2026'!$R$8:$R$185,"республика50м")</f>
        <v>0</v>
      </c>
      <c r="BV50" s="29">
        <f t="shared" si="152"/>
        <v>0</v>
      </c>
      <c r="BW50" s="63"/>
      <c r="BX50" s="63"/>
      <c r="BY50" s="36"/>
      <c r="BZ50" s="29">
        <f>SUMIFS('2026'!$B$8:$B$185,'2026'!$K$8:$K$185,"2027",'2026'!$J$8:$J$185,"3",'2026'!$R$8:$R$185,"область50м")</f>
        <v>0</v>
      </c>
      <c r="CA50" s="29">
        <f>SUMIFS('2026'!$N$8:$N$185,'2026'!$K$8:$K$185,"2027",'2026'!$J$8:$J$185,"3",'2026'!$R$8:$R$185,"область50м")</f>
        <v>0</v>
      </c>
      <c r="CB50" s="29">
        <f t="shared" si="154"/>
        <v>0</v>
      </c>
      <c r="CC50" s="63"/>
      <c r="CD50" s="63"/>
      <c r="CE50" s="36"/>
      <c r="CF50" s="29">
        <f>SUMIFS('2026'!$B$8:$B$185,'2026'!$K$8:$K$185,"2027",'2026'!$J$8:$J$185,"3",'2026'!$R$8:$R$185,"район50м")</f>
        <v>0</v>
      </c>
      <c r="CG50" s="29">
        <f>SUMIFS('2026'!$N$8:$N$185,'2026'!$K$8:$K$185,"2027",'2026'!$J$8:$J$185,"3",'2026'!$R$8:$R$185,"район50м")</f>
        <v>0</v>
      </c>
      <c r="CH50" s="30">
        <f t="shared" si="181"/>
        <v>1</v>
      </c>
      <c r="CI50" s="63"/>
      <c r="CJ50" s="63"/>
      <c r="CK50" s="36"/>
      <c r="CL50" s="29">
        <f>SUMIFS('2026'!$B$8:$B$185,'2026'!$K$8:$K$185,"2027",'2026'!$J$8:$J$185,"3",'2026'!$R$8:$R$185,"райпо")</f>
        <v>1</v>
      </c>
      <c r="CM50" s="29">
        <f>SUMIFS('2026'!$N$8:$N$185,'2026'!$K$8:$K$185,"2027",'2026'!$J$8:$J$185,"3",'2026'!$R$8:$R$185,"райпо")</f>
        <v>3.5</v>
      </c>
      <c r="CN50" s="43">
        <f t="shared" si="182"/>
        <v>0</v>
      </c>
      <c r="CO50" s="63"/>
      <c r="CP50" s="63"/>
      <c r="CQ50" s="36"/>
      <c r="CR50" s="29">
        <f>SUMIFS('2026'!$B$8:$B$185,'2026'!$K$8:$K$185,"2027",'2026'!$J$8:$J$185,"3",'2026'!$R$8:$R$185,"инаяч")</f>
        <v>0</v>
      </c>
      <c r="CS50" s="32">
        <f>SUMIFS('2026'!$N$8:$N$185,'2026'!$K$8:$K$185,"2027",'2026'!$J$8:$J$185,"3",'2026'!$R$8:$R$185,"инаяч")</f>
        <v>0</v>
      </c>
      <c r="CT50" s="44">
        <f t="shared" si="160"/>
        <v>0</v>
      </c>
      <c r="CU50" s="63"/>
      <c r="CV50" s="63"/>
      <c r="CW50" s="36"/>
      <c r="CX50" s="29">
        <f>SUMIFS('2026'!$B$8:$B$185,'2026'!$K$8:$K$185,"2027",'2026'!$J$8:$J$185,"3",'2026'!$R$8:$R$185,"бесхозяйное")</f>
        <v>0</v>
      </c>
      <c r="CY50" s="32">
        <f>SUMIFS('2026'!$N$8:$N$185,'2026'!$K$8:$K$185,"2027",'2026'!$J$8:$J$185,"3",'2026'!$R$8:$R$185,"бесхозяйное")</f>
        <v>0</v>
      </c>
      <c r="DB50" s="46">
        <f t="shared" si="123"/>
        <v>3</v>
      </c>
      <c r="DC50" s="38">
        <f t="shared" si="191"/>
        <v>0</v>
      </c>
      <c r="DD50" s="38">
        <f t="shared" si="191"/>
        <v>0</v>
      </c>
      <c r="DE50" s="39">
        <f t="shared" si="192"/>
        <v>0</v>
      </c>
      <c r="DF50" s="47">
        <f t="shared" si="193"/>
        <v>3</v>
      </c>
      <c r="DG50" s="48">
        <f t="shared" si="193"/>
        <v>18</v>
      </c>
      <c r="DH50" s="49">
        <f>AL50+BP50</f>
        <v>0</v>
      </c>
      <c r="DI50" s="47"/>
      <c r="DJ50" s="47"/>
      <c r="DK50" s="50"/>
      <c r="DL50" s="47">
        <f t="shared" si="194"/>
        <v>0</v>
      </c>
      <c r="DM50" s="48">
        <f t="shared" si="194"/>
        <v>0</v>
      </c>
      <c r="DN50" s="49">
        <f t="shared" si="194"/>
        <v>0</v>
      </c>
      <c r="DO50" s="47"/>
      <c r="DP50" s="47"/>
      <c r="DQ50" s="50"/>
      <c r="DR50" s="47">
        <f t="shared" si="195"/>
        <v>0</v>
      </c>
      <c r="DS50" s="48">
        <f t="shared" si="195"/>
        <v>0</v>
      </c>
      <c r="DT50" s="49">
        <f t="shared" si="195"/>
        <v>3</v>
      </c>
      <c r="DU50" s="47"/>
      <c r="DV50" s="47"/>
      <c r="DW50" s="50"/>
      <c r="DX50" s="47">
        <f t="shared" si="196"/>
        <v>3</v>
      </c>
      <c r="DY50" s="48">
        <f t="shared" si="196"/>
        <v>18</v>
      </c>
    </row>
    <row r="51" spans="1:129" s="45" customFormat="1" ht="15.75" customHeight="1" x14ac:dyDescent="0.25">
      <c r="A51" s="28" t="s">
        <v>178</v>
      </c>
      <c r="B51" s="29">
        <f t="shared" si="127"/>
        <v>2</v>
      </c>
      <c r="C51" s="30"/>
      <c r="D51" s="30"/>
      <c r="E51" s="31"/>
      <c r="F51" s="29">
        <f t="shared" si="129"/>
        <v>2</v>
      </c>
      <c r="G51" s="32">
        <f t="shared" si="129"/>
        <v>5.9</v>
      </c>
      <c r="H51" s="33">
        <f t="shared" si="169"/>
        <v>0</v>
      </c>
      <c r="I51" s="34"/>
      <c r="J51" s="34"/>
      <c r="K51" s="35"/>
      <c r="L51" s="29">
        <f t="shared" si="171"/>
        <v>0</v>
      </c>
      <c r="M51" s="32">
        <f t="shared" si="171"/>
        <v>0</v>
      </c>
      <c r="N51" s="33">
        <f t="shared" si="172"/>
        <v>0</v>
      </c>
      <c r="O51" s="63"/>
      <c r="P51" s="63"/>
      <c r="Q51" s="36"/>
      <c r="R51" s="29">
        <f>SUMIFS('2026'!$B$8:$B$185,'2026'!$K$8:$K$185,"2027",'2026'!$J$8:$J$185,"4",'2026'!$R$8:$R$185,"республика")</f>
        <v>0</v>
      </c>
      <c r="S51" s="29">
        <f>SUMIFS('2026'!$N$8:$N$185,'2026'!$K$8:$K$185,"2027",'2026'!$J$8:$J$185,"4",'2026'!$R$8:$R$185,"республика")</f>
        <v>0</v>
      </c>
      <c r="T51" s="29">
        <f t="shared" si="173"/>
        <v>0</v>
      </c>
      <c r="U51" s="63"/>
      <c r="V51" s="63"/>
      <c r="W51" s="36"/>
      <c r="X51" s="29">
        <f>SUMIFS('2026'!$B$8:$B$185,'2026'!$K$8:$K$185,"2027",'2026'!$J$8:$J$185,"4",'2026'!$R$8:$R$185,"область")</f>
        <v>0</v>
      </c>
      <c r="Y51" s="29">
        <f>SUMIFS('2026'!$N$8:$N$185,'2026'!$K$8:$K$185,"2027",'2026'!$J$8:$J$185,"4",'2026'!$R$8:$R$185,"область")</f>
        <v>0</v>
      </c>
      <c r="Z51" s="29">
        <f t="shared" si="136"/>
        <v>0</v>
      </c>
      <c r="AA51" s="63"/>
      <c r="AB51" s="63"/>
      <c r="AC51" s="36"/>
      <c r="AD51" s="29">
        <f>SUMIFS('2026'!$B$8:$B$185,'2026'!$K$8:$K$185,"2027",'2026'!$J$8:$J$185,"4",'2026'!$R$8:$R$185,"район")</f>
        <v>0</v>
      </c>
      <c r="AE51" s="32">
        <f>SUMIFS('2026'!$N$8:$N$185,'2026'!$K$8:$K$185,"2027",'2026'!$J$8:$J$185,"4",'2026'!$R$8:$R$185,"район")</f>
        <v>0</v>
      </c>
      <c r="AF51" s="37">
        <f t="shared" si="138"/>
        <v>2</v>
      </c>
      <c r="AG51" s="38"/>
      <c r="AH51" s="38"/>
      <c r="AI51" s="39"/>
      <c r="AJ51" s="29">
        <f>AP51+AV51+BB51</f>
        <v>2</v>
      </c>
      <c r="AK51" s="32">
        <f t="shared" si="175"/>
        <v>5.9</v>
      </c>
      <c r="AL51" s="37">
        <f t="shared" si="140"/>
        <v>0</v>
      </c>
      <c r="AM51" s="63"/>
      <c r="AN51" s="63"/>
      <c r="AO51" s="36"/>
      <c r="AP51" s="29">
        <f>SUMIFS('2026'!$B$8:$B$185,'2026'!$K$8:$K$185,"2027",'2026'!$J$8:$J$185,"4",'2026'!$R$8:$R$185,"республика50б")</f>
        <v>0</v>
      </c>
      <c r="AQ51" s="29">
        <f>SUMIFS('2026'!$N$8:$N$185,'2026'!$K$8:$K$185,"2027",'2026'!$J$8:$J$185,"4",'2026'!$R$8:$R$185,"республика50б")</f>
        <v>0</v>
      </c>
      <c r="AR51" s="29">
        <f t="shared" si="142"/>
        <v>1</v>
      </c>
      <c r="AS51" s="63"/>
      <c r="AT51" s="63"/>
      <c r="AU51" s="36"/>
      <c r="AV51" s="29">
        <f>SUMIFS('2026'!$B$8:$B$185,'2026'!$K$8:$K$185,"2027",'2026'!$J$8:$J$185,"4",'2026'!$R$8:$R$185,"область50б")</f>
        <v>1</v>
      </c>
      <c r="AW51" s="29">
        <f>SUMIFS('2026'!$N$8:$N$185,'2026'!$K$8:$K$185,"2027",'2026'!$J$8:$J$185,"4",'2026'!$R$8:$R$185,"область50б")</f>
        <v>3.5</v>
      </c>
      <c r="AX51" s="29">
        <f t="shared" si="144"/>
        <v>1</v>
      </c>
      <c r="AY51" s="63"/>
      <c r="AZ51" s="63"/>
      <c r="BA51" s="36"/>
      <c r="BB51" s="29">
        <f>SUMIFS('2026'!$B$8:$B$185,'2026'!$K$8:$K$185,"2027",'2026'!$J$8:$J$185,"4",'2026'!$R$8:$R$185,"район50б")</f>
        <v>1</v>
      </c>
      <c r="BC51" s="32">
        <f>SUMIFS('2026'!$N$8:$N$185,'2026'!$K$8:$K$185,"2027",'2026'!$J$8:$J$185,"4",'2026'!$R$8:$R$185,"район50б")</f>
        <v>2.4</v>
      </c>
      <c r="BD51" s="37">
        <f t="shared" si="176"/>
        <v>0</v>
      </c>
      <c r="BE51" s="40">
        <f t="shared" si="177"/>
        <v>0</v>
      </c>
      <c r="BF51" s="40">
        <f t="shared" si="177"/>
        <v>0</v>
      </c>
      <c r="BG51" s="41"/>
      <c r="BH51" s="29">
        <f t="shared" si="190"/>
        <v>0</v>
      </c>
      <c r="BI51" s="32">
        <f t="shared" si="183"/>
        <v>0</v>
      </c>
      <c r="BJ51" s="37">
        <f t="shared" si="178"/>
        <v>0</v>
      </c>
      <c r="BK51" s="42"/>
      <c r="BL51" s="42"/>
      <c r="BM51" s="41"/>
      <c r="BN51" s="29">
        <f t="shared" si="180"/>
        <v>0</v>
      </c>
      <c r="BO51" s="29">
        <f t="shared" si="180"/>
        <v>0</v>
      </c>
      <c r="BP51" s="29">
        <f t="shared" si="150"/>
        <v>0</v>
      </c>
      <c r="BQ51" s="63"/>
      <c r="BR51" s="63"/>
      <c r="BS51" s="36"/>
      <c r="BT51" s="29">
        <f>SUMIFS('2026'!$B$8:$B$185,'2026'!$K$8:$K$185,"2027",'2026'!$J$8:$J$185,"4",'2026'!$R$8:$R$185,"республика50м")</f>
        <v>0</v>
      </c>
      <c r="BU51" s="29">
        <f>SUMIFS('2026'!$N$8:$N$185,'2026'!$K$8:$K$185,"2027",'2026'!$J$8:$J$185,"4",'2026'!$R$8:$R$185,"республика50м")</f>
        <v>0</v>
      </c>
      <c r="BV51" s="29">
        <f t="shared" si="152"/>
        <v>0</v>
      </c>
      <c r="BW51" s="63"/>
      <c r="BX51" s="63"/>
      <c r="BY51" s="36"/>
      <c r="BZ51" s="29">
        <f>SUMIFS('2026'!$B$8:$B$185,'2026'!$K$8:$K$185,"2027",'2026'!$J$8:$J$185,"4",'2026'!$R$8:$R$185,"область50м")</f>
        <v>0</v>
      </c>
      <c r="CA51" s="29">
        <f>SUMIFS('2026'!$N$8:$N$185,'2026'!$K$8:$K$185,"2027",'2026'!$J$8:$J$185,"4",'2026'!$R$8:$R$185,"область50м")</f>
        <v>0</v>
      </c>
      <c r="CB51" s="29">
        <f t="shared" si="154"/>
        <v>0</v>
      </c>
      <c r="CC51" s="63"/>
      <c r="CD51" s="63"/>
      <c r="CE51" s="36"/>
      <c r="CF51" s="29">
        <f>SUMIFS('2026'!$B$8:$B$185,'2026'!$K$8:$K$185,"2027",'2026'!$J$8:$J$185,"4",'2026'!$R$8:$R$185,"район50м")</f>
        <v>0</v>
      </c>
      <c r="CG51" s="29">
        <f>SUMIFS('2026'!$N$8:$N$185,'2026'!$K$8:$K$185,"2027",'2026'!$J$8:$J$185,"4",'2026'!$R$8:$R$185,"район50м")</f>
        <v>0</v>
      </c>
      <c r="CH51" s="30">
        <f t="shared" si="181"/>
        <v>0</v>
      </c>
      <c r="CI51" s="63"/>
      <c r="CJ51" s="63"/>
      <c r="CK51" s="36"/>
      <c r="CL51" s="29">
        <f>SUMIFS('2026'!$B$8:$B$185,'2026'!$K$8:$K$185,"2027",'2026'!$J$8:$J$185,"4",'2026'!$R$8:$R$185,"райпо")</f>
        <v>0</v>
      </c>
      <c r="CM51" s="29">
        <f>SUMIFS('2026'!$N$8:$N$185,'2026'!$K$8:$K$185,"2027",'2026'!$J$8:$J$185,"4",'2026'!$R$8:$R$185,"райпо")</f>
        <v>0</v>
      </c>
      <c r="CN51" s="43">
        <f t="shared" si="182"/>
        <v>0</v>
      </c>
      <c r="CO51" s="63"/>
      <c r="CP51" s="63"/>
      <c r="CQ51" s="36"/>
      <c r="CR51" s="29">
        <f>SUMIFS('2026'!$B$8:$B$185,'2026'!$K$8:$K$185,"2027",'2026'!$J$8:$J$185,"4",'2026'!$R$8:$R$185,"инаяч")</f>
        <v>0</v>
      </c>
      <c r="CS51" s="32">
        <f>SUMIFS('2026'!$N$8:$N$185,'2026'!$K$8:$K$185,"2027",'2026'!$J$8:$J$185,"4",'2026'!$R$8:$R$185,"инаяч")</f>
        <v>0</v>
      </c>
      <c r="CT51" s="44">
        <f t="shared" si="160"/>
        <v>0</v>
      </c>
      <c r="CU51" s="63"/>
      <c r="CV51" s="63"/>
      <c r="CW51" s="36"/>
      <c r="CX51" s="29">
        <f>SUMIFS('2026'!$B$8:$B$185,'2026'!$K$8:$K$185,"2027",'2026'!$J$8:$J$185,"4",'2026'!$R$8:$R$185,"бесхозяйное")</f>
        <v>0</v>
      </c>
      <c r="CY51" s="32">
        <f>SUMIFS('2026'!$N$8:$N$185,'2026'!$K$8:$K$185,"2027",'2026'!$J$8:$J$185,"4",'2026'!$R$8:$R$185,"бесхозяйное")</f>
        <v>0</v>
      </c>
      <c r="DB51" s="46">
        <f t="shared" si="123"/>
        <v>2</v>
      </c>
      <c r="DC51" s="38">
        <f t="shared" si="191"/>
        <v>0</v>
      </c>
      <c r="DD51" s="38">
        <f t="shared" si="191"/>
        <v>0</v>
      </c>
      <c r="DE51" s="39">
        <f t="shared" si="192"/>
        <v>0</v>
      </c>
      <c r="DF51" s="47">
        <f t="shared" si="193"/>
        <v>2</v>
      </c>
      <c r="DG51" s="48">
        <f t="shared" si="193"/>
        <v>5.9</v>
      </c>
      <c r="DH51" s="49">
        <f>AL51+BP51</f>
        <v>0</v>
      </c>
      <c r="DI51" s="47"/>
      <c r="DJ51" s="47"/>
      <c r="DK51" s="50"/>
      <c r="DL51" s="47">
        <f t="shared" si="194"/>
        <v>0</v>
      </c>
      <c r="DM51" s="48">
        <f t="shared" si="194"/>
        <v>0</v>
      </c>
      <c r="DN51" s="49">
        <f t="shared" si="194"/>
        <v>1</v>
      </c>
      <c r="DO51" s="47"/>
      <c r="DP51" s="47"/>
      <c r="DQ51" s="50"/>
      <c r="DR51" s="47">
        <f t="shared" si="195"/>
        <v>1</v>
      </c>
      <c r="DS51" s="48">
        <f t="shared" si="195"/>
        <v>3.5</v>
      </c>
      <c r="DT51" s="49">
        <f t="shared" si="195"/>
        <v>1</v>
      </c>
      <c r="DU51" s="47"/>
      <c r="DV51" s="47"/>
      <c r="DW51" s="50"/>
      <c r="DX51" s="47">
        <f t="shared" si="196"/>
        <v>1</v>
      </c>
      <c r="DY51" s="48">
        <f t="shared" si="196"/>
        <v>2.4</v>
      </c>
    </row>
    <row r="52" spans="1:129" s="45" customFormat="1" ht="15.75" customHeight="1" x14ac:dyDescent="0.25">
      <c r="A52" s="28" t="s">
        <v>179</v>
      </c>
      <c r="B52" s="29">
        <f t="shared" si="127"/>
        <v>1</v>
      </c>
      <c r="C52" s="30"/>
      <c r="D52" s="30"/>
      <c r="E52" s="31"/>
      <c r="F52" s="29">
        <f t="shared" si="129"/>
        <v>1</v>
      </c>
      <c r="G52" s="32">
        <f t="shared" si="129"/>
        <v>3</v>
      </c>
      <c r="H52" s="33">
        <f t="shared" si="169"/>
        <v>1</v>
      </c>
      <c r="I52" s="34"/>
      <c r="J52" s="34"/>
      <c r="K52" s="35"/>
      <c r="L52" s="29">
        <f t="shared" si="171"/>
        <v>1</v>
      </c>
      <c r="M52" s="32">
        <f t="shared" si="171"/>
        <v>3</v>
      </c>
      <c r="N52" s="33">
        <f t="shared" si="172"/>
        <v>0</v>
      </c>
      <c r="O52" s="63"/>
      <c r="P52" s="63"/>
      <c r="Q52" s="36"/>
      <c r="R52" s="29">
        <f>SUMIFS('2026'!$B$8:$B$185,'2026'!$K$8:$K$185,"2027",'2026'!$J$8:$J$185,"&gt;4",'2026'!$R$8:$R$185,"республика")</f>
        <v>0</v>
      </c>
      <c r="S52" s="29">
        <f>SUMIFS('2026'!$N$8:$N$185,'2026'!$K$8:$K$185,"2027",'2026'!$J$8:$J$185,"&gt;4",'2026'!$R$8:$R$185,"республика")</f>
        <v>0</v>
      </c>
      <c r="T52" s="29">
        <f t="shared" si="173"/>
        <v>0</v>
      </c>
      <c r="U52" s="63"/>
      <c r="V52" s="63"/>
      <c r="W52" s="36"/>
      <c r="X52" s="29">
        <f>SUMIFS('2026'!$B$8:$B$185,'2026'!$K$8:$K$185,"2027",'2026'!$J$8:$J$185,"&gt;4",'2026'!$R$8:$R$185,"область")</f>
        <v>0</v>
      </c>
      <c r="Y52" s="29">
        <f>SUMIFS('2026'!$N$8:$N$185,'2026'!$K$8:$K$185,"2027",'2026'!$J$8:$J$185,"&gt;4",'2026'!$R$8:$R$185,"область")</f>
        <v>0</v>
      </c>
      <c r="Z52" s="29">
        <f t="shared" si="136"/>
        <v>1</v>
      </c>
      <c r="AA52" s="63"/>
      <c r="AB52" s="63"/>
      <c r="AC52" s="36"/>
      <c r="AD52" s="29">
        <f>SUMIFS('2026'!$B$8:$B$185,'2026'!$K$8:$K$185,"2027",'2026'!$J$8:$J$185,"&gt;4",'2026'!$R$8:$R$185,"район")</f>
        <v>1</v>
      </c>
      <c r="AE52" s="32">
        <f>SUMIFS('2026'!$N$8:$N$185,'2026'!$K$8:$K$185,"2027",'2026'!$J$8:$J$185,"&gt;4",'2026'!$R$8:$R$185,"район")</f>
        <v>3</v>
      </c>
      <c r="AF52" s="37">
        <f t="shared" si="138"/>
        <v>0</v>
      </c>
      <c r="AG52" s="38"/>
      <c r="AH52" s="38"/>
      <c r="AI52" s="39"/>
      <c r="AJ52" s="29">
        <f>AP52+AV52+BB52</f>
        <v>0</v>
      </c>
      <c r="AK52" s="32">
        <f t="shared" si="175"/>
        <v>0</v>
      </c>
      <c r="AL52" s="37">
        <f t="shared" si="140"/>
        <v>0</v>
      </c>
      <c r="AM52" s="63"/>
      <c r="AN52" s="63"/>
      <c r="AO52" s="36"/>
      <c r="AP52" s="29">
        <f>SUMIFS('2026'!$B$8:$B$185,'2026'!$K$8:$K$185,"2027",'2026'!$J$8:$J$185,"&gt;4",'2026'!$R$8:$R$185,"республика50б")</f>
        <v>0</v>
      </c>
      <c r="AQ52" s="29">
        <f>SUMIFS('2026'!$N$8:$N$185,'2026'!$K$8:$K$185,"2027",'2026'!$J$8:$J$185,"&gt;4",'2026'!$R$8:$R$185,"республика50б")</f>
        <v>0</v>
      </c>
      <c r="AR52" s="29">
        <f t="shared" si="142"/>
        <v>0</v>
      </c>
      <c r="AS52" s="63"/>
      <c r="AT52" s="63"/>
      <c r="AU52" s="36"/>
      <c r="AV52" s="29">
        <f>SUMIFS('2026'!$B$8:$B$185,'2026'!$K$8:$K$185,"2027",'2026'!$J$8:$J$185,"&gt;4",'2026'!$R$8:$R$185,"область50б")</f>
        <v>0</v>
      </c>
      <c r="AW52" s="29">
        <f>SUMIFS('2026'!$N$8:$N$185,'2026'!$K$8:$K$185,"2027",'2026'!$J$8:$J$185,"&gt;4",'2026'!$R$8:$R$185,"область50б")</f>
        <v>0</v>
      </c>
      <c r="AX52" s="29">
        <f t="shared" si="144"/>
        <v>0</v>
      </c>
      <c r="AY52" s="63"/>
      <c r="AZ52" s="63"/>
      <c r="BA52" s="36"/>
      <c r="BB52" s="29">
        <f>SUMIFS('2026'!$B$8:$B$185,'2026'!$K$8:$K$185,"2027",'2026'!$J$8:$J$185,"&gt;4",'2026'!$R$8:$R$185,"район50б")</f>
        <v>0</v>
      </c>
      <c r="BC52" s="32">
        <f>SUMIFS('2026'!$N$8:$N$185,'2026'!$K$8:$K$185,"2027",'2026'!$J$8:$J$185,"&gt;4",'2026'!$R$8:$R$185,"район50б")</f>
        <v>0</v>
      </c>
      <c r="BD52" s="37">
        <f t="shared" si="176"/>
        <v>0</v>
      </c>
      <c r="BE52" s="40">
        <f t="shared" si="177"/>
        <v>0</v>
      </c>
      <c r="BF52" s="40">
        <f t="shared" si="177"/>
        <v>0</v>
      </c>
      <c r="BG52" s="41"/>
      <c r="BH52" s="29">
        <f t="shared" si="190"/>
        <v>0</v>
      </c>
      <c r="BI52" s="32">
        <f t="shared" si="183"/>
        <v>0</v>
      </c>
      <c r="BJ52" s="37">
        <f t="shared" si="178"/>
        <v>0</v>
      </c>
      <c r="BK52" s="42"/>
      <c r="BL52" s="42"/>
      <c r="BM52" s="41"/>
      <c r="BN52" s="29">
        <f t="shared" si="180"/>
        <v>0</v>
      </c>
      <c r="BO52" s="29">
        <f t="shared" si="180"/>
        <v>0</v>
      </c>
      <c r="BP52" s="29">
        <f t="shared" si="150"/>
        <v>0</v>
      </c>
      <c r="BQ52" s="63"/>
      <c r="BR52" s="63"/>
      <c r="BS52" s="36"/>
      <c r="BT52" s="29">
        <f>SUMIFS('2026'!$B$8:$B$185,'2026'!$K$8:$K$185,"2027",'2026'!$J$8:$J$185,"&gt;4",'2026'!$R$8:$R$185,"республика50м")</f>
        <v>0</v>
      </c>
      <c r="BU52" s="29">
        <f>SUMIFS('2026'!$N$8:$N$185,'2026'!$K$8:$K$185,"2027",'2026'!$J$8:$J$185,"&gt;4",'2026'!$R$8:$R$185,"республика50м")</f>
        <v>0</v>
      </c>
      <c r="BV52" s="29">
        <f t="shared" si="152"/>
        <v>0</v>
      </c>
      <c r="BW52" s="63"/>
      <c r="BX52" s="63"/>
      <c r="BY52" s="36"/>
      <c r="BZ52" s="29">
        <f>SUMIFS('2026'!$B$8:$B$185,'2026'!$K$8:$K$185,"2027",'2026'!$J$8:$J$185,"&gt;4",'2026'!$R$8:$R$185,"область50м")</f>
        <v>0</v>
      </c>
      <c r="CA52" s="29">
        <f>SUMIFS('2026'!$N$8:$N$185,'2026'!$K$8:$K$185,"2027",'2026'!$J$8:$J$185,"&gt;4",'2026'!$R$8:$R$185,"область50м")</f>
        <v>0</v>
      </c>
      <c r="CB52" s="29">
        <f t="shared" si="154"/>
        <v>0</v>
      </c>
      <c r="CC52" s="63"/>
      <c r="CD52" s="63"/>
      <c r="CE52" s="36"/>
      <c r="CF52" s="29">
        <f>SUMIFS('2026'!$B$8:$B$185,'2026'!$K$8:$K$185,"2027",'2026'!$J$8:$J$185,"&gt;4",'2026'!$R$8:$R$185,"район50м")</f>
        <v>0</v>
      </c>
      <c r="CG52" s="29">
        <f>SUMIFS('2026'!$N$8:$N$185,'2026'!$K$8:$K$185,"2027",'2026'!$J$8:$J$185,"&gt;4",'2026'!$R$8:$R$185,"район50м")</f>
        <v>0</v>
      </c>
      <c r="CH52" s="30">
        <f t="shared" si="181"/>
        <v>0</v>
      </c>
      <c r="CI52" s="63"/>
      <c r="CJ52" s="63"/>
      <c r="CK52" s="36"/>
      <c r="CL52" s="29">
        <f>SUMIFS('2026'!$B$8:$B$185,'2026'!$K$8:$K$185,"2027",'2026'!$J$8:$J$185,"&gt;4",'2026'!$R$8:$R$185,"райпо")</f>
        <v>0</v>
      </c>
      <c r="CM52" s="29">
        <f>SUMIFS('2026'!$N$8:$N$185,'2026'!$K$8:$K$185,"2027",'2026'!$J$8:$J$185,"&gt;4",'2026'!$R$8:$R$185,"райпо")</f>
        <v>0</v>
      </c>
      <c r="CN52" s="43">
        <f t="shared" si="182"/>
        <v>0</v>
      </c>
      <c r="CO52" s="63"/>
      <c r="CP52" s="63"/>
      <c r="CQ52" s="36"/>
      <c r="CR52" s="29">
        <f>SUMIFS('2026'!$B$8:$B$185,'2026'!$K$8:$K$185,"2027",'2026'!$J$8:$J$185,"&gt;4",'2026'!$R$8:$R$185,"инаяч")</f>
        <v>0</v>
      </c>
      <c r="CS52" s="32">
        <f>SUMIFS('2026'!$N$8:$N$185,'2026'!$K$8:$K$185,"2027",'2026'!$J$8:$J$185,"&gt;4",'2026'!$R$8:$R$185,"инаяч")</f>
        <v>0</v>
      </c>
      <c r="CT52" s="44">
        <f t="shared" si="160"/>
        <v>0</v>
      </c>
      <c r="CU52" s="63"/>
      <c r="CV52" s="63"/>
      <c r="CW52" s="36"/>
      <c r="CX52" s="29">
        <f>SUMIFS('2026'!$B$8:$B$185,'2026'!$K$8:$K$185,"2027",'2026'!$J$8:$J$185,"&gt;4",'2026'!$R$8:$R$185,"бесхозяйное")</f>
        <v>0</v>
      </c>
      <c r="CY52" s="32">
        <f>SUMIFS('2026'!$N$8:$N$185,'2026'!$K$8:$K$185,"2027",'2026'!$J$8:$J$185,"&gt;4",'2026'!$R$8:$R$185,"бесхозяйное")</f>
        <v>0</v>
      </c>
      <c r="DB52" s="46">
        <f t="shared" si="123"/>
        <v>0</v>
      </c>
      <c r="DC52" s="38">
        <f t="shared" si="191"/>
        <v>0</v>
      </c>
      <c r="DD52" s="38">
        <f t="shared" si="191"/>
        <v>0</v>
      </c>
      <c r="DE52" s="39">
        <f t="shared" si="192"/>
        <v>0</v>
      </c>
      <c r="DF52" s="47">
        <f t="shared" si="193"/>
        <v>0</v>
      </c>
      <c r="DG52" s="48">
        <f t="shared" si="193"/>
        <v>0</v>
      </c>
      <c r="DH52" s="49">
        <f>AL52+BP52</f>
        <v>0</v>
      </c>
      <c r="DI52" s="47"/>
      <c r="DJ52" s="47"/>
      <c r="DK52" s="50"/>
      <c r="DL52" s="47">
        <f t="shared" si="194"/>
        <v>0</v>
      </c>
      <c r="DM52" s="48">
        <f t="shared" si="194"/>
        <v>0</v>
      </c>
      <c r="DN52" s="49">
        <f t="shared" si="194"/>
        <v>0</v>
      </c>
      <c r="DO52" s="47"/>
      <c r="DP52" s="47"/>
      <c r="DQ52" s="50"/>
      <c r="DR52" s="47">
        <f t="shared" si="195"/>
        <v>0</v>
      </c>
      <c r="DS52" s="48">
        <f t="shared" si="195"/>
        <v>0</v>
      </c>
      <c r="DT52" s="49">
        <f t="shared" si="195"/>
        <v>0</v>
      </c>
      <c r="DU52" s="47"/>
      <c r="DV52" s="47"/>
      <c r="DW52" s="50"/>
      <c r="DX52" s="47">
        <f t="shared" si="196"/>
        <v>0</v>
      </c>
      <c r="DY52" s="48">
        <f t="shared" si="196"/>
        <v>0</v>
      </c>
    </row>
    <row r="53" spans="1:129" s="45" customFormat="1" ht="15.75" x14ac:dyDescent="0.25">
      <c r="A53" s="67">
        <v>2028</v>
      </c>
      <c r="B53" s="42">
        <f t="shared" si="127"/>
        <v>9</v>
      </c>
      <c r="C53" s="30"/>
      <c r="D53" s="30"/>
      <c r="E53" s="31"/>
      <c r="F53" s="42">
        <f t="shared" si="129"/>
        <v>9</v>
      </c>
      <c r="G53" s="52">
        <f t="shared" si="129"/>
        <v>43.2</v>
      </c>
      <c r="H53" s="53">
        <f t="shared" si="169"/>
        <v>1</v>
      </c>
      <c r="I53" s="34"/>
      <c r="J53" s="34"/>
      <c r="K53" s="35"/>
      <c r="L53" s="42">
        <f t="shared" si="171"/>
        <v>1</v>
      </c>
      <c r="M53" s="52">
        <f t="shared" si="171"/>
        <v>9</v>
      </c>
      <c r="N53" s="53">
        <f t="shared" si="172"/>
        <v>0</v>
      </c>
      <c r="O53" s="54"/>
      <c r="P53" s="54"/>
      <c r="Q53" s="41"/>
      <c r="R53" s="54">
        <f>SUM(R54:R57)</f>
        <v>0</v>
      </c>
      <c r="S53" s="54">
        <f>SUM(S54:S57)</f>
        <v>0</v>
      </c>
      <c r="T53" s="42">
        <f t="shared" si="173"/>
        <v>0</v>
      </c>
      <c r="U53" s="54"/>
      <c r="V53" s="54"/>
      <c r="W53" s="41"/>
      <c r="X53" s="54">
        <f>SUM(X54:X57)</f>
        <v>0</v>
      </c>
      <c r="Y53" s="54">
        <f>SUM(Y54:Y57)</f>
        <v>0</v>
      </c>
      <c r="Z53" s="42">
        <f t="shared" si="136"/>
        <v>1</v>
      </c>
      <c r="AA53" s="54"/>
      <c r="AB53" s="54"/>
      <c r="AC53" s="41"/>
      <c r="AD53" s="54">
        <f>SUM(AD54:AD57)</f>
        <v>1</v>
      </c>
      <c r="AE53" s="55">
        <f>SUM(AE54:AE57)</f>
        <v>9</v>
      </c>
      <c r="AF53" s="56">
        <f t="shared" si="138"/>
        <v>8</v>
      </c>
      <c r="AG53" s="38"/>
      <c r="AH53" s="38"/>
      <c r="AI53" s="39"/>
      <c r="AJ53" s="42">
        <f t="shared" ref="AJ53" si="197">AP53+AV53+BB53</f>
        <v>8</v>
      </c>
      <c r="AK53" s="52">
        <f t="shared" si="175"/>
        <v>34.200000000000003</v>
      </c>
      <c r="AL53" s="56">
        <f t="shared" si="140"/>
        <v>0</v>
      </c>
      <c r="AM53" s="54"/>
      <c r="AN53" s="54"/>
      <c r="AO53" s="41"/>
      <c r="AP53" s="54">
        <f>SUM(AP54:AP57)</f>
        <v>0</v>
      </c>
      <c r="AQ53" s="54">
        <f>SUM(AQ54:AQ57)</f>
        <v>0</v>
      </c>
      <c r="AR53" s="42">
        <f t="shared" si="142"/>
        <v>0</v>
      </c>
      <c r="AS53" s="54"/>
      <c r="AT53" s="54"/>
      <c r="AU53" s="41"/>
      <c r="AV53" s="54">
        <f>SUM(AV54:AV57)</f>
        <v>0</v>
      </c>
      <c r="AW53" s="54">
        <f>SUM(AW54:AW57)</f>
        <v>0</v>
      </c>
      <c r="AX53" s="42">
        <f t="shared" si="144"/>
        <v>8</v>
      </c>
      <c r="AY53" s="54"/>
      <c r="AZ53" s="54"/>
      <c r="BA53" s="41"/>
      <c r="BB53" s="54">
        <f>SUM(BB54:BB57)</f>
        <v>8</v>
      </c>
      <c r="BC53" s="55">
        <f>SUM(BC54:BC57)</f>
        <v>34.200000000000003</v>
      </c>
      <c r="BD53" s="57">
        <f t="shared" si="176"/>
        <v>0</v>
      </c>
      <c r="BE53" s="58">
        <f t="shared" si="177"/>
        <v>0</v>
      </c>
      <c r="BF53" s="58">
        <f t="shared" si="177"/>
        <v>0</v>
      </c>
      <c r="BG53" s="59">
        <f t="shared" ref="BG53" si="198">IFERROR(BF53/BE53*100,0)</f>
        <v>0</v>
      </c>
      <c r="BH53" s="54">
        <f t="shared" si="190"/>
        <v>0</v>
      </c>
      <c r="BI53" s="55">
        <f t="shared" si="183"/>
        <v>0</v>
      </c>
      <c r="BJ53" s="57">
        <f t="shared" si="178"/>
        <v>0</v>
      </c>
      <c r="BK53" s="54"/>
      <c r="BL53" s="54"/>
      <c r="BM53" s="59"/>
      <c r="BN53" s="54">
        <f t="shared" si="180"/>
        <v>0</v>
      </c>
      <c r="BO53" s="54">
        <f t="shared" si="180"/>
        <v>0</v>
      </c>
      <c r="BP53" s="54">
        <f t="shared" si="150"/>
        <v>0</v>
      </c>
      <c r="BQ53" s="54"/>
      <c r="BR53" s="54"/>
      <c r="BS53" s="41"/>
      <c r="BT53" s="54">
        <f>SUM(BT54:BT57)</f>
        <v>0</v>
      </c>
      <c r="BU53" s="54">
        <f>SUM(BU54:BU57)</f>
        <v>0</v>
      </c>
      <c r="BV53" s="54">
        <f t="shared" si="152"/>
        <v>0</v>
      </c>
      <c r="BW53" s="54"/>
      <c r="BX53" s="54"/>
      <c r="BY53" s="41"/>
      <c r="BZ53" s="54">
        <f>SUM(BZ54:BZ57)</f>
        <v>0</v>
      </c>
      <c r="CA53" s="54">
        <f>SUM(CA54:CA57)</f>
        <v>0</v>
      </c>
      <c r="CB53" s="42">
        <f t="shared" si="154"/>
        <v>0</v>
      </c>
      <c r="CC53" s="54"/>
      <c r="CD53" s="54"/>
      <c r="CE53" s="41"/>
      <c r="CF53" s="54">
        <f>SUM(CF54:CF57)</f>
        <v>0</v>
      </c>
      <c r="CG53" s="54">
        <f>SUM(CG54:CG57)</f>
        <v>0</v>
      </c>
      <c r="CH53" s="30">
        <f t="shared" si="181"/>
        <v>0</v>
      </c>
      <c r="CI53" s="54"/>
      <c r="CJ53" s="54"/>
      <c r="CK53" s="41"/>
      <c r="CL53" s="54">
        <f>SUM(CL54:CL57)</f>
        <v>0</v>
      </c>
      <c r="CM53" s="54">
        <f>SUM(CM54:CM57)</f>
        <v>0</v>
      </c>
      <c r="CN53" s="43">
        <f t="shared" si="182"/>
        <v>0</v>
      </c>
      <c r="CO53" s="54"/>
      <c r="CP53" s="54"/>
      <c r="CQ53" s="41"/>
      <c r="CR53" s="54">
        <f>SUM(CR54:CR57)</f>
        <v>0</v>
      </c>
      <c r="CS53" s="55">
        <f>SUM(CS54:CS57)</f>
        <v>0</v>
      </c>
      <c r="CT53" s="44">
        <f t="shared" si="160"/>
        <v>0</v>
      </c>
      <c r="CU53" s="54"/>
      <c r="CV53" s="54"/>
      <c r="CW53" s="41"/>
      <c r="CX53" s="54">
        <f>SUM(CX54:CX57)</f>
        <v>0</v>
      </c>
      <c r="CY53" s="55">
        <f>SUM(CY54:CY57)</f>
        <v>0</v>
      </c>
      <c r="DB53" s="60">
        <f t="shared" si="123"/>
        <v>8</v>
      </c>
      <c r="DC53" s="61">
        <f>SUM(DC54:DC57)</f>
        <v>0</v>
      </c>
      <c r="DD53" s="61">
        <f>SUM(DD54:DD57)</f>
        <v>0</v>
      </c>
      <c r="DE53" s="62">
        <f>IFERROR(DD53/DC53*100,0)</f>
        <v>0</v>
      </c>
      <c r="DF53" s="63">
        <f>SUM(DF54:DF57)</f>
        <v>8</v>
      </c>
      <c r="DG53" s="64">
        <f>SUM(DG54:DG57)</f>
        <v>34.200000000000003</v>
      </c>
      <c r="DH53" s="65">
        <f>DI53+DL53</f>
        <v>0</v>
      </c>
      <c r="DI53" s="63"/>
      <c r="DJ53" s="63"/>
      <c r="DK53" s="66"/>
      <c r="DL53" s="63">
        <f>SUM(DL54:DL57)</f>
        <v>0</v>
      </c>
      <c r="DM53" s="64">
        <f>SUM(DM54:DM57)</f>
        <v>0</v>
      </c>
      <c r="DN53" s="65">
        <f>DO53+DR53</f>
        <v>0</v>
      </c>
      <c r="DO53" s="63"/>
      <c r="DP53" s="63"/>
      <c r="DQ53" s="66"/>
      <c r="DR53" s="63">
        <f>SUM(DR54:DR57)</f>
        <v>0</v>
      </c>
      <c r="DS53" s="64">
        <f>SUM(DS54:DS57)</f>
        <v>0</v>
      </c>
      <c r="DT53" s="65">
        <f>DU53+DX53</f>
        <v>8</v>
      </c>
      <c r="DU53" s="63"/>
      <c r="DV53" s="63"/>
      <c r="DW53" s="66"/>
      <c r="DX53" s="63">
        <f>SUM(DX54:DX57)</f>
        <v>8</v>
      </c>
      <c r="DY53" s="64">
        <f>SUM(DY54:DY57)</f>
        <v>34.200000000000003</v>
      </c>
    </row>
    <row r="54" spans="1:129" s="45" customFormat="1" ht="15.75" customHeight="1" x14ac:dyDescent="0.25">
      <c r="A54" s="28" t="s">
        <v>180</v>
      </c>
      <c r="B54" s="29">
        <f t="shared" si="127"/>
        <v>0</v>
      </c>
      <c r="C54" s="30"/>
      <c r="D54" s="30"/>
      <c r="E54" s="31"/>
      <c r="F54" s="29">
        <f t="shared" si="129"/>
        <v>0</v>
      </c>
      <c r="G54" s="32">
        <f t="shared" si="129"/>
        <v>0</v>
      </c>
      <c r="H54" s="33">
        <f t="shared" si="169"/>
        <v>0</v>
      </c>
      <c r="I54" s="34"/>
      <c r="J54" s="34"/>
      <c r="K54" s="35"/>
      <c r="L54" s="29">
        <f t="shared" si="171"/>
        <v>0</v>
      </c>
      <c r="M54" s="32">
        <f t="shared" si="171"/>
        <v>0</v>
      </c>
      <c r="N54" s="33">
        <f t="shared" si="172"/>
        <v>0</v>
      </c>
      <c r="O54" s="63"/>
      <c r="P54" s="63"/>
      <c r="Q54" s="36"/>
      <c r="R54" s="29">
        <f>SUMIFS('2026'!$B$8:$B$185,'2026'!$K$8:$K$185,"2028",'2026'!$J$8:$J$185,"&lt;3",'2026'!$R$8:$R$185,"республика")</f>
        <v>0</v>
      </c>
      <c r="S54" s="29">
        <f>SUMIFS('2026'!$N$8:$N$185,'2026'!$K$8:$K$185,"2028",'2026'!$J$8:$J$185,"&lt;3",'2026'!$R$8:$R$185,"республика")</f>
        <v>0</v>
      </c>
      <c r="T54" s="29">
        <f t="shared" si="173"/>
        <v>0</v>
      </c>
      <c r="U54" s="63"/>
      <c r="V54" s="63"/>
      <c r="W54" s="36"/>
      <c r="X54" s="29">
        <f>SUMIFS('2026'!$B$8:$B$185,'2026'!$K$8:$K$185,"2028",'2026'!$J$8:$J$185,"&lt;3",'2026'!$R$8:$R$185,"область")</f>
        <v>0</v>
      </c>
      <c r="Y54" s="29">
        <f>SUMIFS('2026'!$N$8:$N$185,'2026'!$K$8:$K$185,"2028",'2026'!$J$8:$J$185,"&lt;3",'2026'!$R$8:$R$185,"область")</f>
        <v>0</v>
      </c>
      <c r="Z54" s="29">
        <f t="shared" si="136"/>
        <v>0</v>
      </c>
      <c r="AA54" s="63"/>
      <c r="AB54" s="63"/>
      <c r="AC54" s="36"/>
      <c r="AD54" s="29">
        <f>SUMIFS('2026'!$B$8:$B$185,'2026'!$K$8:$K$185,"2028",'2026'!$J$8:$J$185,"&lt;3",'2026'!$R$8:$R$185,"район")</f>
        <v>0</v>
      </c>
      <c r="AE54" s="32">
        <f>SUMIFS('2026'!$N$8:$N$185,'2026'!$K$8:$K$185,"2028",'2026'!$J$8:$J$185,"&lt;3",'2026'!$R$8:$R$185,"район")</f>
        <v>0</v>
      </c>
      <c r="AF54" s="37">
        <f t="shared" si="138"/>
        <v>0</v>
      </c>
      <c r="AG54" s="38"/>
      <c r="AH54" s="38"/>
      <c r="AI54" s="39"/>
      <c r="AJ54" s="29">
        <f>AP54+AV54+BB54</f>
        <v>0</v>
      </c>
      <c r="AK54" s="32">
        <f t="shared" si="175"/>
        <v>0</v>
      </c>
      <c r="AL54" s="37">
        <f t="shared" si="140"/>
        <v>0</v>
      </c>
      <c r="AM54" s="63"/>
      <c r="AN54" s="63"/>
      <c r="AO54" s="36"/>
      <c r="AP54" s="29">
        <f>SUMIFS('2026'!$B$8:$B$185,'2026'!$K$8:$K$185,"2028",'2026'!$J$8:$J$185,"&lt;3",'2026'!$R$8:$R$185,"республика50б")</f>
        <v>0</v>
      </c>
      <c r="AQ54" s="29">
        <f>SUMIFS('2026'!$N$8:$N$185,'2026'!$K$8:$K$185,"2028",'2026'!$J$8:$J$185,"&lt;3",'2026'!$R$8:$R$185,"республика50б")</f>
        <v>0</v>
      </c>
      <c r="AR54" s="29">
        <f t="shared" si="142"/>
        <v>0</v>
      </c>
      <c r="AS54" s="63"/>
      <c r="AT54" s="63"/>
      <c r="AU54" s="36"/>
      <c r="AV54" s="29">
        <f>SUMIFS('2026'!$B$8:$B$185,'2026'!$K$8:$K$185,"2028",'2026'!$J$8:$J$185,"&lt;3",'2026'!$R$8:$R$185,"область50б")</f>
        <v>0</v>
      </c>
      <c r="AW54" s="29">
        <f>SUMIFS('2026'!$N$8:$N$185,'2026'!$K$8:$K$185,"2028",'2026'!$J$8:$J$185,"&lt;3",'2026'!$R$8:$R$185,"область50б")</f>
        <v>0</v>
      </c>
      <c r="AX54" s="29">
        <f t="shared" si="144"/>
        <v>0</v>
      </c>
      <c r="AY54" s="63"/>
      <c r="AZ54" s="63"/>
      <c r="BA54" s="36"/>
      <c r="BB54" s="29">
        <f>SUMIFS('2026'!$B$8:$B$185,'2026'!$K$8:$K$185,"2028",'2026'!$J$8:$J$185,"&lt;3",'2026'!$R$8:$R$185,"район50б")</f>
        <v>0</v>
      </c>
      <c r="BC54" s="32">
        <f>SUMIFS('2026'!$N$8:$N$185,'2026'!$K$8:$K$185,"2028",'2026'!$J$8:$J$185,"&lt;3",'2026'!$R$8:$R$185,"район50б")</f>
        <v>0</v>
      </c>
      <c r="BD54" s="37">
        <f t="shared" si="176"/>
        <v>0</v>
      </c>
      <c r="BE54" s="40">
        <f t="shared" si="177"/>
        <v>0</v>
      </c>
      <c r="BF54" s="40">
        <f t="shared" si="177"/>
        <v>0</v>
      </c>
      <c r="BG54" s="41"/>
      <c r="BH54" s="29">
        <f t="shared" si="190"/>
        <v>0</v>
      </c>
      <c r="BI54" s="32">
        <f t="shared" si="183"/>
        <v>0</v>
      </c>
      <c r="BJ54" s="37">
        <f t="shared" si="178"/>
        <v>0</v>
      </c>
      <c r="BK54" s="42"/>
      <c r="BL54" s="42"/>
      <c r="BM54" s="41"/>
      <c r="BN54" s="29">
        <f>BT54+BZ54+CF54</f>
        <v>0</v>
      </c>
      <c r="BO54" s="29">
        <f t="shared" si="180"/>
        <v>0</v>
      </c>
      <c r="BP54" s="29">
        <f t="shared" si="150"/>
        <v>0</v>
      </c>
      <c r="BQ54" s="63"/>
      <c r="BR54" s="63"/>
      <c r="BS54" s="36"/>
      <c r="BT54" s="29">
        <f>SUMIFS('2026'!$B$8:$B$185,'2026'!$K$8:$K$185,"2028",'2026'!$J$8:$J$185,"&lt;3",'2026'!$R$8:$R$185,"республика50м")</f>
        <v>0</v>
      </c>
      <c r="BU54" s="29">
        <f>SUMIFS('2026'!$N$8:$N$185,'2026'!$K$8:$K$185,"2028",'2026'!$J$8:$J$185,"&lt;3",'2026'!$R$8:$R$185,"республика50м")</f>
        <v>0</v>
      </c>
      <c r="BV54" s="29">
        <f t="shared" si="152"/>
        <v>0</v>
      </c>
      <c r="BW54" s="63"/>
      <c r="BX54" s="63"/>
      <c r="BY54" s="36"/>
      <c r="BZ54" s="29">
        <f>SUMIFS('2026'!$B$8:$B$185,'2026'!$K$8:$K$185,"2028",'2026'!$J$8:$J$185,"&lt;3",'2026'!$R$8:$R$185,"область50м")</f>
        <v>0</v>
      </c>
      <c r="CA54" s="29">
        <f>SUMIFS('2026'!$N$8:$N$185,'2026'!$K$8:$K$185,"2028",'2026'!$J$8:$J$185,"&lt;3",'2026'!$R$8:$R$185,"область50м")</f>
        <v>0</v>
      </c>
      <c r="CB54" s="29">
        <f t="shared" si="154"/>
        <v>0</v>
      </c>
      <c r="CC54" s="63"/>
      <c r="CD54" s="63"/>
      <c r="CE54" s="36"/>
      <c r="CF54" s="29">
        <f>SUMIFS('2026'!$B$8:$B$185,'2026'!$K$8:$K$185,"2028",'2026'!$J$8:$J$185,"&lt;3",'2026'!$R$8:$R$185,"район50м")</f>
        <v>0</v>
      </c>
      <c r="CG54" s="29">
        <f>SUMIFS('2026'!$N$8:$N$185,'2026'!$K$8:$K$185,"2028",'2026'!$J$8:$J$185,"&lt;3",'2026'!$R$8:$R$185,"район50м")</f>
        <v>0</v>
      </c>
      <c r="CH54" s="30">
        <f t="shared" si="181"/>
        <v>0</v>
      </c>
      <c r="CI54" s="63"/>
      <c r="CJ54" s="63"/>
      <c r="CK54" s="36"/>
      <c r="CL54" s="29">
        <f>SUMIFS('2026'!$B$8:$B$185,'2026'!$K$8:$K$185,"2028",'2026'!$J$8:$J$185,"&lt;3",'2026'!$R$8:$R$185,"райпо")</f>
        <v>0</v>
      </c>
      <c r="CM54" s="29">
        <f>SUMIFS('2026'!$N$8:$N$185,'2026'!$K$8:$K$185,"2028",'2026'!$J$8:$J$185,"&lt;3",'2026'!$R$8:$R$185,"райпо")</f>
        <v>0</v>
      </c>
      <c r="CN54" s="43">
        <f t="shared" si="182"/>
        <v>0</v>
      </c>
      <c r="CO54" s="63"/>
      <c r="CP54" s="63"/>
      <c r="CQ54" s="36"/>
      <c r="CR54" s="29">
        <f>SUMIFS('2026'!$B$8:$B$185,'2026'!$K$8:$K$185,"2028",'2026'!$J$8:$J$185,"&lt;3",'2026'!$R$8:$R$185,"инаяч")</f>
        <v>0</v>
      </c>
      <c r="CS54" s="32">
        <f>SUMIFS('2026'!$N$8:$N$185,'2026'!$K$8:$K$185,"2028",'2026'!$J$8:$J$185,"&lt;3",'2026'!$R$8:$R$185,"инаяч")</f>
        <v>0</v>
      </c>
      <c r="CT54" s="44">
        <f t="shared" si="160"/>
        <v>0</v>
      </c>
      <c r="CU54" s="63"/>
      <c r="CV54" s="63"/>
      <c r="CW54" s="36"/>
      <c r="CX54" s="29">
        <f>SUMIFS('2026'!$B$8:$B$185,'2026'!$K$8:$K$185,"2028",'2026'!$J$8:$J$185,"&lt;3",'2026'!$R$8:$R$185,"бесхозяйное")</f>
        <v>0</v>
      </c>
      <c r="CY54" s="32">
        <f>SUMIFS('2026'!$N$8:$N$185,'2026'!$K$8:$K$185,"2028",'2026'!$J$8:$J$185,"&lt;3",'2026'!$R$8:$R$185,"бесхозяйное")</f>
        <v>0</v>
      </c>
      <c r="DB54" s="46">
        <f t="shared" si="123"/>
        <v>0</v>
      </c>
      <c r="DC54" s="38">
        <f t="shared" ref="DC54:DD57" si="199">DI54+DO54+DU54</f>
        <v>0</v>
      </c>
      <c r="DD54" s="38">
        <f t="shared" si="199"/>
        <v>0</v>
      </c>
      <c r="DE54" s="39">
        <f t="shared" ref="DE54:DE57" si="200">IFERROR(DD54/DC54*100,0)</f>
        <v>0</v>
      </c>
      <c r="DF54" s="47">
        <f t="shared" ref="DF54:DG57" si="201">DL54+DR54+DX54</f>
        <v>0</v>
      </c>
      <c r="DG54" s="48">
        <f t="shared" si="201"/>
        <v>0</v>
      </c>
      <c r="DH54" s="49">
        <f>AL54+BP54</f>
        <v>0</v>
      </c>
      <c r="DI54" s="47"/>
      <c r="DJ54" s="47"/>
      <c r="DK54" s="50"/>
      <c r="DL54" s="47">
        <f t="shared" ref="DL54:DN57" si="202">AP54+BT54</f>
        <v>0</v>
      </c>
      <c r="DM54" s="48">
        <f t="shared" si="202"/>
        <v>0</v>
      </c>
      <c r="DN54" s="49">
        <f t="shared" si="202"/>
        <v>0</v>
      </c>
      <c r="DO54" s="47"/>
      <c r="DP54" s="47"/>
      <c r="DQ54" s="50"/>
      <c r="DR54" s="47">
        <f t="shared" ref="DR54:DT57" si="203">AV54+BZ54</f>
        <v>0</v>
      </c>
      <c r="DS54" s="48">
        <f t="shared" si="203"/>
        <v>0</v>
      </c>
      <c r="DT54" s="49">
        <f t="shared" si="203"/>
        <v>0</v>
      </c>
      <c r="DU54" s="47"/>
      <c r="DV54" s="47"/>
      <c r="DW54" s="50"/>
      <c r="DX54" s="47">
        <f t="shared" ref="DX54:DY57" si="204">BB54+CF54</f>
        <v>0</v>
      </c>
      <c r="DY54" s="48">
        <f t="shared" si="204"/>
        <v>0</v>
      </c>
    </row>
    <row r="55" spans="1:129" s="45" customFormat="1" ht="15.75" customHeight="1" x14ac:dyDescent="0.25">
      <c r="A55" s="28" t="s">
        <v>181</v>
      </c>
      <c r="B55" s="29">
        <f t="shared" si="127"/>
        <v>5</v>
      </c>
      <c r="C55" s="30"/>
      <c r="D55" s="30"/>
      <c r="E55" s="31"/>
      <c r="F55" s="29">
        <f t="shared" si="129"/>
        <v>5</v>
      </c>
      <c r="G55" s="32">
        <f t="shared" si="129"/>
        <v>29.2</v>
      </c>
      <c r="H55" s="33">
        <f t="shared" si="169"/>
        <v>1</v>
      </c>
      <c r="I55" s="34"/>
      <c r="J55" s="34"/>
      <c r="K55" s="35"/>
      <c r="L55" s="29">
        <f t="shared" si="171"/>
        <v>1</v>
      </c>
      <c r="M55" s="32">
        <f t="shared" si="171"/>
        <v>9</v>
      </c>
      <c r="N55" s="33">
        <f t="shared" si="172"/>
        <v>0</v>
      </c>
      <c r="O55" s="63"/>
      <c r="P55" s="63"/>
      <c r="Q55" s="36"/>
      <c r="R55" s="29">
        <f>SUMIFS('2026'!$B$8:$B$185,'2026'!$K$8:$K$185,"2028",'2026'!$J$8:$J$185,"3",'2026'!$R$8:$R$185,"республика")</f>
        <v>0</v>
      </c>
      <c r="S55" s="29">
        <f>SUMIFS('2026'!$N$8:$N$185,'2026'!$K$8:$K$185,"2028",'2026'!$J$8:$J$185,"3",'2026'!$R$8:$R$185,"республика")</f>
        <v>0</v>
      </c>
      <c r="T55" s="29">
        <f t="shared" si="173"/>
        <v>0</v>
      </c>
      <c r="U55" s="63"/>
      <c r="V55" s="63"/>
      <c r="W55" s="36"/>
      <c r="X55" s="29">
        <f>SUMIFS('2026'!$B$8:$B$185,'2026'!$K$8:$K$185,"2028",'2026'!$J$8:$J$185,"3",'2026'!$R$8:$R$185,"область")</f>
        <v>0</v>
      </c>
      <c r="Y55" s="29">
        <f>SUMIFS('2026'!$N$8:$N$185,'2026'!$K$8:$K$185,"2028",'2026'!$J$8:$J$185,"3",'2026'!$R$8:$R$185,"область")</f>
        <v>0</v>
      </c>
      <c r="Z55" s="29">
        <f t="shared" si="136"/>
        <v>1</v>
      </c>
      <c r="AA55" s="63"/>
      <c r="AB55" s="63"/>
      <c r="AC55" s="36"/>
      <c r="AD55" s="29">
        <f>SUMIFS('2026'!$B$8:$B$185,'2026'!$K$8:$K$185,"2028",'2026'!$J$8:$J$185,"3",'2026'!$R$8:$R$185,"район")</f>
        <v>1</v>
      </c>
      <c r="AE55" s="32">
        <f>SUMIFS('2026'!$N$8:$N$185,'2026'!$K$8:$K$185,"2028",'2026'!$J$8:$J$185,"3",'2026'!$R$8:$R$185,"район")</f>
        <v>9</v>
      </c>
      <c r="AF55" s="37">
        <f t="shared" si="138"/>
        <v>4</v>
      </c>
      <c r="AG55" s="38"/>
      <c r="AH55" s="38"/>
      <c r="AI55" s="39"/>
      <c r="AJ55" s="29">
        <f>AP55+AV55+BB55</f>
        <v>4</v>
      </c>
      <c r="AK55" s="32">
        <f t="shared" si="175"/>
        <v>20.2</v>
      </c>
      <c r="AL55" s="37">
        <f t="shared" si="140"/>
        <v>0</v>
      </c>
      <c r="AM55" s="63"/>
      <c r="AN55" s="63"/>
      <c r="AO55" s="36"/>
      <c r="AP55" s="29">
        <f>SUMIFS('2026'!$B$8:$B$185,'2026'!$K$8:$K$185,"2028",'2026'!$J$8:$J$185,"3",'2026'!$R$8:$R$185,"республика50б")</f>
        <v>0</v>
      </c>
      <c r="AQ55" s="29">
        <f>SUMIFS('2026'!$N$8:$N$185,'2026'!$K$8:$K$185,"2028",'2026'!$J$8:$J$185,"3",'2026'!$R$8:$R$185,"республика50б")</f>
        <v>0</v>
      </c>
      <c r="AR55" s="29">
        <f t="shared" si="142"/>
        <v>0</v>
      </c>
      <c r="AS55" s="63"/>
      <c r="AT55" s="63"/>
      <c r="AU55" s="36"/>
      <c r="AV55" s="29">
        <f>SUMIFS('2026'!$B$8:$B$185,'2026'!$K$8:$K$185,"2028",'2026'!$J$8:$J$185,"3",'2026'!$R$8:$R$185,"область50б")</f>
        <v>0</v>
      </c>
      <c r="AW55" s="29">
        <f>SUMIFS('2026'!$N$8:$N$185,'2026'!$K$8:$K$185,"2028",'2026'!$J$8:$J$185,"3",'2026'!$R$8:$R$185,"область50б")</f>
        <v>0</v>
      </c>
      <c r="AX55" s="29">
        <f t="shared" si="144"/>
        <v>4</v>
      </c>
      <c r="AY55" s="63"/>
      <c r="AZ55" s="63"/>
      <c r="BA55" s="36"/>
      <c r="BB55" s="29">
        <f>SUMIFS('2026'!$B$8:$B$185,'2026'!$K$8:$K$185,"2028",'2026'!$J$8:$J$185,"3",'2026'!$R$8:$R$185,"район50б")</f>
        <v>4</v>
      </c>
      <c r="BC55" s="32">
        <f>SUMIFS('2026'!$N$8:$N$185,'2026'!$K$8:$K$185,"2028",'2026'!$J$8:$J$185,"3",'2026'!$R$8:$R$185,"район50б")</f>
        <v>20.2</v>
      </c>
      <c r="BD55" s="37">
        <f t="shared" si="176"/>
        <v>0</v>
      </c>
      <c r="BE55" s="40">
        <f t="shared" si="177"/>
        <v>0</v>
      </c>
      <c r="BF55" s="40">
        <f t="shared" si="177"/>
        <v>0</v>
      </c>
      <c r="BG55" s="41"/>
      <c r="BH55" s="29">
        <f t="shared" si="190"/>
        <v>0</v>
      </c>
      <c r="BI55" s="32">
        <f t="shared" si="183"/>
        <v>0</v>
      </c>
      <c r="BJ55" s="37">
        <f t="shared" si="178"/>
        <v>0</v>
      </c>
      <c r="BK55" s="42"/>
      <c r="BL55" s="42"/>
      <c r="BM55" s="41"/>
      <c r="BN55" s="29">
        <f>BT55+BZ55+CF55</f>
        <v>0</v>
      </c>
      <c r="BO55" s="29">
        <f t="shared" si="180"/>
        <v>0</v>
      </c>
      <c r="BP55" s="29">
        <f t="shared" si="150"/>
        <v>0</v>
      </c>
      <c r="BQ55" s="63"/>
      <c r="BR55" s="63"/>
      <c r="BS55" s="36"/>
      <c r="BT55" s="29">
        <f>SUMIFS('2026'!$B$8:$B$185,'2026'!$K$8:$K$185,"2028",'2026'!$J$8:$J$185,"3",'2026'!$R$8:$R$185,"республика50м")</f>
        <v>0</v>
      </c>
      <c r="BU55" s="29">
        <f>SUMIFS('2026'!$N$8:$N$185,'2026'!$K$8:$K$185,"2028",'2026'!$J$8:$J$185,"3",'2026'!$R$8:$R$185,"республика50м")</f>
        <v>0</v>
      </c>
      <c r="BV55" s="29">
        <f t="shared" si="152"/>
        <v>0</v>
      </c>
      <c r="BW55" s="63"/>
      <c r="BX55" s="63"/>
      <c r="BY55" s="36"/>
      <c r="BZ55" s="29">
        <f>SUMIFS('2026'!$B$8:$B$185,'2026'!$K$8:$K$185,"2028",'2026'!$J$8:$J$185,"3",'2026'!$R$8:$R$185,"область50м")</f>
        <v>0</v>
      </c>
      <c r="CA55" s="29">
        <f>SUMIFS('2026'!$N$8:$N$185,'2026'!$K$8:$K$185,"2028",'2026'!$J$8:$J$185,"3",'2026'!$R$8:$R$185,"область50м")</f>
        <v>0</v>
      </c>
      <c r="CB55" s="29">
        <f t="shared" si="154"/>
        <v>0</v>
      </c>
      <c r="CC55" s="63"/>
      <c r="CD55" s="63"/>
      <c r="CE55" s="36"/>
      <c r="CF55" s="29">
        <f>SUMIFS('2026'!$B$8:$B$185,'2026'!$K$8:$K$185,"2028",'2026'!$J$8:$J$185,"3",'2026'!$R$8:$R$185,"район50м")</f>
        <v>0</v>
      </c>
      <c r="CG55" s="29">
        <f>SUMIFS('2026'!$N$8:$N$185,'2026'!$K$8:$K$185,"2028",'2026'!$J$8:$J$185,"3",'2026'!$R$8:$R$185,"район50м")</f>
        <v>0</v>
      </c>
      <c r="CH55" s="30">
        <f t="shared" si="181"/>
        <v>0</v>
      </c>
      <c r="CI55" s="63"/>
      <c r="CJ55" s="63"/>
      <c r="CK55" s="36"/>
      <c r="CL55" s="29">
        <f>SUMIFS('2026'!$B$8:$B$185,'2026'!$K$8:$K$185,"2028",'2026'!$J$8:$J$185,"3",'2026'!$R$8:$R$185,"райпо")</f>
        <v>0</v>
      </c>
      <c r="CM55" s="29">
        <f>SUMIFS('2026'!$N$8:$N$185,'2026'!$K$8:$K$185,"2028",'2026'!$J$8:$J$185,"3",'2026'!$R$8:$R$185,"райпо")</f>
        <v>0</v>
      </c>
      <c r="CN55" s="43">
        <f t="shared" si="182"/>
        <v>0</v>
      </c>
      <c r="CO55" s="63"/>
      <c r="CP55" s="63"/>
      <c r="CQ55" s="36"/>
      <c r="CR55" s="29">
        <f>SUMIFS('2026'!$B$8:$B$185,'2026'!$K$8:$K$185,"2028",'2026'!$J$8:$J$185,"3",'2026'!$R$8:$R$185,"инаяч")</f>
        <v>0</v>
      </c>
      <c r="CS55" s="32">
        <f>SUMIFS('2026'!$N$8:$N$185,'2026'!$K$8:$K$185,"2028",'2026'!$J$8:$J$185,"3",'2026'!$R$8:$R$185,"инаяч")</f>
        <v>0</v>
      </c>
      <c r="CT55" s="44">
        <f t="shared" si="160"/>
        <v>0</v>
      </c>
      <c r="CU55" s="63"/>
      <c r="CV55" s="63"/>
      <c r="CW55" s="36"/>
      <c r="CX55" s="29">
        <f>SUMIFS('2026'!$B$8:$B$185,'2026'!$K$8:$K$185,"2028",'2026'!$J$8:$J$185,"3",'2026'!$R$8:$R$185,"бесхозяйное")</f>
        <v>0</v>
      </c>
      <c r="CY55" s="32">
        <f>SUMIFS('2026'!$N$8:$N$185,'2026'!$K$8:$K$185,"2028",'2026'!$J$8:$J$185,"3",'2026'!$R$8:$R$185,"бесхозяйное")</f>
        <v>0</v>
      </c>
      <c r="DB55" s="46">
        <f t="shared" si="123"/>
        <v>4</v>
      </c>
      <c r="DC55" s="38">
        <f t="shared" si="199"/>
        <v>0</v>
      </c>
      <c r="DD55" s="38">
        <f t="shared" si="199"/>
        <v>0</v>
      </c>
      <c r="DE55" s="39">
        <f t="shared" si="200"/>
        <v>0</v>
      </c>
      <c r="DF55" s="47">
        <f t="shared" si="201"/>
        <v>4</v>
      </c>
      <c r="DG55" s="48">
        <f t="shared" si="201"/>
        <v>20.2</v>
      </c>
      <c r="DH55" s="49">
        <f>AL55+BP55</f>
        <v>0</v>
      </c>
      <c r="DI55" s="47"/>
      <c r="DJ55" s="47"/>
      <c r="DK55" s="50"/>
      <c r="DL55" s="47">
        <f t="shared" si="202"/>
        <v>0</v>
      </c>
      <c r="DM55" s="48">
        <f t="shared" si="202"/>
        <v>0</v>
      </c>
      <c r="DN55" s="49">
        <f t="shared" si="202"/>
        <v>0</v>
      </c>
      <c r="DO55" s="47"/>
      <c r="DP55" s="47"/>
      <c r="DQ55" s="50"/>
      <c r="DR55" s="47">
        <f t="shared" si="203"/>
        <v>0</v>
      </c>
      <c r="DS55" s="48">
        <f t="shared" si="203"/>
        <v>0</v>
      </c>
      <c r="DT55" s="49">
        <f t="shared" si="203"/>
        <v>4</v>
      </c>
      <c r="DU55" s="47"/>
      <c r="DV55" s="47"/>
      <c r="DW55" s="50"/>
      <c r="DX55" s="47">
        <f t="shared" si="204"/>
        <v>4</v>
      </c>
      <c r="DY55" s="48">
        <f t="shared" si="204"/>
        <v>20.2</v>
      </c>
    </row>
    <row r="56" spans="1:129" s="45" customFormat="1" ht="15.75" customHeight="1" x14ac:dyDescent="0.25">
      <c r="A56" s="28" t="s">
        <v>182</v>
      </c>
      <c r="B56" s="29">
        <f t="shared" si="127"/>
        <v>4</v>
      </c>
      <c r="C56" s="30"/>
      <c r="D56" s="30"/>
      <c r="E56" s="31"/>
      <c r="F56" s="29">
        <f t="shared" si="129"/>
        <v>4</v>
      </c>
      <c r="G56" s="32">
        <f t="shared" si="129"/>
        <v>14</v>
      </c>
      <c r="H56" s="33">
        <f t="shared" si="169"/>
        <v>0</v>
      </c>
      <c r="I56" s="34"/>
      <c r="J56" s="34"/>
      <c r="K56" s="35"/>
      <c r="L56" s="29">
        <f t="shared" si="171"/>
        <v>0</v>
      </c>
      <c r="M56" s="32">
        <f t="shared" si="171"/>
        <v>0</v>
      </c>
      <c r="N56" s="33">
        <f t="shared" si="172"/>
        <v>0</v>
      </c>
      <c r="O56" s="63"/>
      <c r="P56" s="63"/>
      <c r="Q56" s="36"/>
      <c r="R56" s="29">
        <f>SUMIFS('2026'!$B$8:$B$185,'2026'!$K$8:$K$185,"2028",'2026'!$J$8:$J$185,"4",'2026'!$R$8:$R$185,"республика")</f>
        <v>0</v>
      </c>
      <c r="S56" s="29">
        <f>SUMIFS('2026'!$N$8:$N$185,'2026'!$K$8:$K$185,"2028",'2026'!$J$8:$J$185,"4",'2026'!$R$8:$R$185,"республика")</f>
        <v>0</v>
      </c>
      <c r="T56" s="29">
        <f t="shared" si="173"/>
        <v>0</v>
      </c>
      <c r="U56" s="63"/>
      <c r="V56" s="63"/>
      <c r="W56" s="36"/>
      <c r="X56" s="29">
        <f>SUMIFS('2026'!$B$8:$B$185,'2026'!$K$8:$K$185,"2028",'2026'!$J$8:$J$185,"4",'2026'!$R$8:$R$185,"область")</f>
        <v>0</v>
      </c>
      <c r="Y56" s="29">
        <f>SUMIFS('2026'!$N$8:$N$185,'2026'!$K$8:$K$185,"2028",'2026'!$J$8:$J$185,"4",'2026'!$R$8:$R$185,"область")</f>
        <v>0</v>
      </c>
      <c r="Z56" s="29">
        <f t="shared" si="136"/>
        <v>0</v>
      </c>
      <c r="AA56" s="63"/>
      <c r="AB56" s="63"/>
      <c r="AC56" s="36"/>
      <c r="AD56" s="29">
        <f>SUMIFS('2026'!$B$8:$B$185,'2026'!$K$8:$K$185,"2028",'2026'!$J$8:$J$185,"4",'2026'!$R$8:$R$185,"район")</f>
        <v>0</v>
      </c>
      <c r="AE56" s="32">
        <f>SUMIFS('2026'!$N$8:$N$185,'2026'!$K$8:$K$185,"2028",'2026'!$J$8:$J$185,"4",'2026'!$R$8:$R$185,"район")</f>
        <v>0</v>
      </c>
      <c r="AF56" s="37">
        <f t="shared" si="138"/>
        <v>4</v>
      </c>
      <c r="AG56" s="38"/>
      <c r="AH56" s="38"/>
      <c r="AI56" s="39"/>
      <c r="AJ56" s="29">
        <f>AP56+AV56+BB56</f>
        <v>4</v>
      </c>
      <c r="AK56" s="32">
        <f t="shared" si="175"/>
        <v>14</v>
      </c>
      <c r="AL56" s="37">
        <f t="shared" si="140"/>
        <v>0</v>
      </c>
      <c r="AM56" s="63"/>
      <c r="AN56" s="63"/>
      <c r="AO56" s="36"/>
      <c r="AP56" s="29">
        <f>SUMIFS('2026'!$B$8:$B$185,'2026'!$K$8:$K$185,"2028",'2026'!$J$8:$J$185,"4",'2026'!$R$8:$R$185,"республика50б")</f>
        <v>0</v>
      </c>
      <c r="AQ56" s="29">
        <f>SUMIFS('2026'!$N$8:$N$185,'2026'!$K$8:$K$185,"2028",'2026'!$J$8:$J$185,"4",'2026'!$R$8:$R$185,"республика50б")</f>
        <v>0</v>
      </c>
      <c r="AR56" s="29">
        <f t="shared" si="142"/>
        <v>0</v>
      </c>
      <c r="AS56" s="63"/>
      <c r="AT56" s="63"/>
      <c r="AU56" s="36"/>
      <c r="AV56" s="29">
        <f>SUMIFS('2026'!$B$8:$B$185,'2026'!$K$8:$K$185,"2028",'2026'!$J$8:$J$185,"4",'2026'!$R$8:$R$185,"область50б")</f>
        <v>0</v>
      </c>
      <c r="AW56" s="29">
        <f>SUMIFS('2026'!$N$8:$N$185,'2026'!$K$8:$K$185,"2028",'2026'!$J$8:$J$185,"4",'2026'!$R$8:$R$185,"область50б")</f>
        <v>0</v>
      </c>
      <c r="AX56" s="29">
        <f t="shared" si="144"/>
        <v>4</v>
      </c>
      <c r="AY56" s="63"/>
      <c r="AZ56" s="63"/>
      <c r="BA56" s="36"/>
      <c r="BB56" s="29">
        <f>SUMIFS('2026'!$B$8:$B$185,'2026'!$K$8:$K$185,"2028",'2026'!$J$8:$J$185,"4",'2026'!$R$8:$R$185,"район50б")</f>
        <v>4</v>
      </c>
      <c r="BC56" s="32">
        <f>SUMIFS('2026'!$N$8:$N$185,'2026'!$K$8:$K$185,"2028",'2026'!$J$8:$J$185,"4",'2026'!$R$8:$R$185,"район50б")</f>
        <v>14</v>
      </c>
      <c r="BD56" s="37">
        <f t="shared" si="176"/>
        <v>0</v>
      </c>
      <c r="BE56" s="40">
        <f t="shared" si="177"/>
        <v>0</v>
      </c>
      <c r="BF56" s="40">
        <f t="shared" si="177"/>
        <v>0</v>
      </c>
      <c r="BG56" s="41"/>
      <c r="BH56" s="29">
        <f t="shared" si="190"/>
        <v>0</v>
      </c>
      <c r="BI56" s="32">
        <f t="shared" si="183"/>
        <v>0</v>
      </c>
      <c r="BJ56" s="37">
        <f t="shared" si="178"/>
        <v>0</v>
      </c>
      <c r="BK56" s="42"/>
      <c r="BL56" s="42"/>
      <c r="BM56" s="41"/>
      <c r="BN56" s="29">
        <f>BT56+BZ56+CF56</f>
        <v>0</v>
      </c>
      <c r="BO56" s="29">
        <f t="shared" si="180"/>
        <v>0</v>
      </c>
      <c r="BP56" s="29">
        <f t="shared" si="150"/>
        <v>0</v>
      </c>
      <c r="BQ56" s="63"/>
      <c r="BR56" s="63"/>
      <c r="BS56" s="36"/>
      <c r="BT56" s="29">
        <f>SUMIFS('2026'!$B$8:$B$185,'2026'!$K$8:$K$185,"2028",'2026'!$J$8:$J$185,"4",'2026'!$R$8:$R$185,"республика50м")</f>
        <v>0</v>
      </c>
      <c r="BU56" s="29">
        <f>SUMIFS('2026'!$N$8:$N$185,'2026'!$K$8:$K$185,"2028",'2026'!$J$8:$J$185,"4",'2026'!$R$8:$R$185,"республика50м")</f>
        <v>0</v>
      </c>
      <c r="BV56" s="29">
        <f t="shared" si="152"/>
        <v>0</v>
      </c>
      <c r="BW56" s="63"/>
      <c r="BX56" s="63"/>
      <c r="BY56" s="36"/>
      <c r="BZ56" s="29">
        <f>SUMIFS('2026'!$B$8:$B$185,'2026'!$K$8:$K$185,"2028",'2026'!$J$8:$J$185,"4",'2026'!$R$8:$R$185,"область50м")</f>
        <v>0</v>
      </c>
      <c r="CA56" s="29">
        <f>SUMIFS('2026'!$N$8:$N$185,'2026'!$K$8:$K$185,"2028",'2026'!$J$8:$J$185,"4",'2026'!$R$8:$R$185,"область50м")</f>
        <v>0</v>
      </c>
      <c r="CB56" s="29">
        <f t="shared" si="154"/>
        <v>0</v>
      </c>
      <c r="CC56" s="63"/>
      <c r="CD56" s="63"/>
      <c r="CE56" s="36"/>
      <c r="CF56" s="29">
        <f>SUMIFS('2026'!$B$8:$B$185,'2026'!$K$8:$K$185,"2028",'2026'!$J$8:$J$185,"4",'2026'!$R$8:$R$185,"район50м")</f>
        <v>0</v>
      </c>
      <c r="CG56" s="29">
        <f>SUMIFS('2026'!$N$8:$N$185,'2026'!$K$8:$K$185,"2028",'2026'!$J$8:$J$185,"4",'2026'!$R$8:$R$185,"район50м")</f>
        <v>0</v>
      </c>
      <c r="CH56" s="30">
        <f t="shared" si="181"/>
        <v>0</v>
      </c>
      <c r="CI56" s="63"/>
      <c r="CJ56" s="63"/>
      <c r="CK56" s="36"/>
      <c r="CL56" s="29">
        <f>SUMIFS('2026'!$B$8:$B$185,'2026'!$K$8:$K$185,"2028",'2026'!$J$8:$J$185,"4",'2026'!$R$8:$R$185,"райпо")</f>
        <v>0</v>
      </c>
      <c r="CM56" s="29">
        <f>SUMIFS('2026'!$N$8:$N$185,'2026'!$K$8:$K$185,"2028",'2026'!$J$8:$J$185,"4",'2026'!$R$8:$R$185,"райпо")</f>
        <v>0</v>
      </c>
      <c r="CN56" s="43">
        <f t="shared" si="182"/>
        <v>0</v>
      </c>
      <c r="CO56" s="63"/>
      <c r="CP56" s="63"/>
      <c r="CQ56" s="36"/>
      <c r="CR56" s="29">
        <f>SUMIFS('2026'!$B$8:$B$185,'2026'!$K$8:$K$185,"2028",'2026'!$J$8:$J$185,"4",'2026'!$R$8:$R$185,"инаяч")</f>
        <v>0</v>
      </c>
      <c r="CS56" s="32">
        <f>SUMIFS('2026'!$N$8:$N$185,'2026'!$K$8:$K$185,"2028",'2026'!$J$8:$J$185,"4",'2026'!$R$8:$R$185,"инаяч")</f>
        <v>0</v>
      </c>
      <c r="CT56" s="44">
        <f t="shared" si="160"/>
        <v>0</v>
      </c>
      <c r="CU56" s="63"/>
      <c r="CV56" s="63"/>
      <c r="CW56" s="36"/>
      <c r="CX56" s="29">
        <f>SUMIFS('2026'!$B$8:$B$185,'2026'!$K$8:$K$185,"2028",'2026'!$J$8:$J$185,"4",'2026'!$R$8:$R$185,"бесхозяйное")</f>
        <v>0</v>
      </c>
      <c r="CY56" s="32">
        <f>SUMIFS('2026'!$N$8:$N$185,'2026'!$K$8:$K$185,"2028",'2026'!$J$8:$J$185,"4",'2026'!$R$8:$R$185,"бесхозяйное")</f>
        <v>0</v>
      </c>
      <c r="DB56" s="46">
        <f t="shared" si="123"/>
        <v>4</v>
      </c>
      <c r="DC56" s="38">
        <f t="shared" si="199"/>
        <v>0</v>
      </c>
      <c r="DD56" s="38">
        <f t="shared" si="199"/>
        <v>0</v>
      </c>
      <c r="DE56" s="39">
        <f t="shared" si="200"/>
        <v>0</v>
      </c>
      <c r="DF56" s="47">
        <f t="shared" si="201"/>
        <v>4</v>
      </c>
      <c r="DG56" s="48">
        <f t="shared" si="201"/>
        <v>14</v>
      </c>
      <c r="DH56" s="49">
        <f>AL56+BP56</f>
        <v>0</v>
      </c>
      <c r="DI56" s="47"/>
      <c r="DJ56" s="47"/>
      <c r="DK56" s="50"/>
      <c r="DL56" s="47">
        <f t="shared" si="202"/>
        <v>0</v>
      </c>
      <c r="DM56" s="48">
        <f t="shared" si="202"/>
        <v>0</v>
      </c>
      <c r="DN56" s="49">
        <f t="shared" si="202"/>
        <v>0</v>
      </c>
      <c r="DO56" s="47"/>
      <c r="DP56" s="47"/>
      <c r="DQ56" s="50"/>
      <c r="DR56" s="47">
        <f t="shared" si="203"/>
        <v>0</v>
      </c>
      <c r="DS56" s="48">
        <f t="shared" si="203"/>
        <v>0</v>
      </c>
      <c r="DT56" s="49">
        <f t="shared" si="203"/>
        <v>4</v>
      </c>
      <c r="DU56" s="47"/>
      <c r="DV56" s="47"/>
      <c r="DW56" s="50"/>
      <c r="DX56" s="47">
        <f t="shared" si="204"/>
        <v>4</v>
      </c>
      <c r="DY56" s="48">
        <f t="shared" si="204"/>
        <v>14</v>
      </c>
    </row>
    <row r="57" spans="1:129" s="45" customFormat="1" ht="15.75" customHeight="1" x14ac:dyDescent="0.25">
      <c r="A57" s="28" t="s">
        <v>183</v>
      </c>
      <c r="B57" s="29">
        <f t="shared" si="127"/>
        <v>0</v>
      </c>
      <c r="C57" s="30"/>
      <c r="D57" s="30"/>
      <c r="E57" s="31"/>
      <c r="F57" s="29">
        <f t="shared" si="129"/>
        <v>0</v>
      </c>
      <c r="G57" s="32">
        <f t="shared" si="129"/>
        <v>0</v>
      </c>
      <c r="H57" s="33">
        <f t="shared" si="169"/>
        <v>0</v>
      </c>
      <c r="I57" s="34"/>
      <c r="J57" s="34"/>
      <c r="K57" s="35"/>
      <c r="L57" s="29">
        <f t="shared" si="171"/>
        <v>0</v>
      </c>
      <c r="M57" s="32">
        <f t="shared" si="171"/>
        <v>0</v>
      </c>
      <c r="N57" s="33">
        <f t="shared" si="172"/>
        <v>0</v>
      </c>
      <c r="O57" s="63"/>
      <c r="P57" s="63"/>
      <c r="Q57" s="36"/>
      <c r="R57" s="29">
        <f>SUMIFS('2026'!$B$8:$B$185,'2026'!$K$8:$K$185,"2028",'2026'!$J$8:$J$185,"&gt;4",'2026'!$R$8:$R$185,"республика")</f>
        <v>0</v>
      </c>
      <c r="S57" s="29">
        <f>SUMIFS('2026'!$N$8:$N$185,'2026'!$K$8:$K$185,"2028",'2026'!$J$8:$J$185,"&gt;4",'2026'!$R$8:$R$185,"республика")</f>
        <v>0</v>
      </c>
      <c r="T57" s="29">
        <f t="shared" si="173"/>
        <v>0</v>
      </c>
      <c r="U57" s="63"/>
      <c r="V57" s="63"/>
      <c r="W57" s="36"/>
      <c r="X57" s="29">
        <f>SUMIFS('2026'!$B$8:$B$185,'2026'!$K$8:$K$185,"2028",'2026'!$J$8:$J$185,"&gt;4",'2026'!$R$8:$R$185,"область")</f>
        <v>0</v>
      </c>
      <c r="Y57" s="29">
        <f>SUMIFS('2026'!$N$8:$N$185,'2026'!$K$8:$K$185,"2028",'2026'!$J$8:$J$185,"&gt;4",'2026'!$R$8:$R$185,"область")</f>
        <v>0</v>
      </c>
      <c r="Z57" s="29">
        <f t="shared" si="136"/>
        <v>0</v>
      </c>
      <c r="AA57" s="63"/>
      <c r="AB57" s="63"/>
      <c r="AC57" s="36"/>
      <c r="AD57" s="29">
        <f>SUMIFS('2026'!$B$8:$B$185,'2026'!$K$8:$K$185,"2028",'2026'!$J$8:$J$185,"&gt;4",'2026'!$R$8:$R$185,"район")</f>
        <v>0</v>
      </c>
      <c r="AE57" s="32">
        <f>SUMIFS('2026'!$N$8:$N$185,'2026'!$K$8:$K$185,"2028",'2026'!$J$8:$J$185,"&gt;4",'2026'!$R$8:$R$185,"район")</f>
        <v>0</v>
      </c>
      <c r="AF57" s="37">
        <f t="shared" si="138"/>
        <v>0</v>
      </c>
      <c r="AG57" s="38"/>
      <c r="AH57" s="38"/>
      <c r="AI57" s="39"/>
      <c r="AJ57" s="29">
        <f>AP57+AV57+BB57</f>
        <v>0</v>
      </c>
      <c r="AK57" s="32">
        <f t="shared" si="175"/>
        <v>0</v>
      </c>
      <c r="AL57" s="37">
        <f t="shared" si="140"/>
        <v>0</v>
      </c>
      <c r="AM57" s="63"/>
      <c r="AN57" s="63"/>
      <c r="AO57" s="36"/>
      <c r="AP57" s="29">
        <f>SUMIFS('2026'!$B$8:$B$185,'2026'!$K$8:$K$185,"2028",'2026'!$J$8:$J$185,"&gt;4",'2026'!$R$8:$R$185,"республика50б")</f>
        <v>0</v>
      </c>
      <c r="AQ57" s="29">
        <f>SUMIFS('2026'!$N$8:$N$185,'2026'!$K$8:$K$185,"2028",'2026'!$J$8:$J$185,"&gt;4",'2026'!$R$8:$R$185,"республика50б")</f>
        <v>0</v>
      </c>
      <c r="AR57" s="29">
        <f t="shared" si="142"/>
        <v>0</v>
      </c>
      <c r="AS57" s="63"/>
      <c r="AT57" s="63"/>
      <c r="AU57" s="36"/>
      <c r="AV57" s="29">
        <f>SUMIFS('2026'!$B$8:$B$185,'2026'!$K$8:$K$185,"2028",'2026'!$J$8:$J$185,"&gt;4",'2026'!$R$8:$R$185,"область50б")</f>
        <v>0</v>
      </c>
      <c r="AW57" s="29">
        <f>SUMIFS('2026'!$N$8:$N$185,'2026'!$K$8:$K$185,"2028",'2026'!$J$8:$J$185,"&gt;4",'2026'!$R$8:$R$185,"область50б")</f>
        <v>0</v>
      </c>
      <c r="AX57" s="29">
        <f t="shared" si="144"/>
        <v>0</v>
      </c>
      <c r="AY57" s="63"/>
      <c r="AZ57" s="63"/>
      <c r="BA57" s="36"/>
      <c r="BB57" s="29">
        <f>SUMIFS('2026'!$B$8:$B$185,'2026'!$K$8:$K$185,"2028",'2026'!$J$8:$J$185,"&gt;4",'2026'!$R$8:$R$185,"район50б")</f>
        <v>0</v>
      </c>
      <c r="BC57" s="32">
        <f>SUMIFS('2026'!$N$8:$N$185,'2026'!$K$8:$K$185,"2028",'2026'!$J$8:$J$185,"&gt;4",'2026'!$R$8:$R$185,"район50б")</f>
        <v>0</v>
      </c>
      <c r="BD57" s="37">
        <f t="shared" si="176"/>
        <v>0</v>
      </c>
      <c r="BE57" s="40">
        <f t="shared" si="177"/>
        <v>0</v>
      </c>
      <c r="BF57" s="40">
        <f t="shared" si="177"/>
        <v>0</v>
      </c>
      <c r="BG57" s="41"/>
      <c r="BH57" s="29">
        <f t="shared" si="190"/>
        <v>0</v>
      </c>
      <c r="BI57" s="32">
        <f t="shared" si="183"/>
        <v>0</v>
      </c>
      <c r="BJ57" s="37">
        <f t="shared" si="178"/>
        <v>0</v>
      </c>
      <c r="BK57" s="42"/>
      <c r="BL57" s="42"/>
      <c r="BM57" s="41"/>
      <c r="BN57" s="29">
        <f>BT57+BZ57+CF57</f>
        <v>0</v>
      </c>
      <c r="BO57" s="29">
        <f t="shared" si="180"/>
        <v>0</v>
      </c>
      <c r="BP57" s="29">
        <f t="shared" si="150"/>
        <v>0</v>
      </c>
      <c r="BQ57" s="63"/>
      <c r="BR57" s="63"/>
      <c r="BS57" s="36"/>
      <c r="BT57" s="29">
        <f>SUMIFS('2026'!$B$8:$B$185,'2026'!$K$8:$K$185,"2028",'2026'!$J$8:$J$185,"&gt;4",'2026'!$R$8:$R$185,"республика50м")</f>
        <v>0</v>
      </c>
      <c r="BU57" s="29">
        <f>SUMIFS('2026'!$N$8:$N$185,'2026'!$K$8:$K$185,"2028",'2026'!$J$8:$J$185,"&gt;4",'2026'!$R$8:$R$185,"республика50м")</f>
        <v>0</v>
      </c>
      <c r="BV57" s="29">
        <f t="shared" si="152"/>
        <v>0</v>
      </c>
      <c r="BW57" s="63"/>
      <c r="BX57" s="63"/>
      <c r="BY57" s="36"/>
      <c r="BZ57" s="29">
        <f>SUMIFS('2026'!$B$8:$B$185,'2026'!$K$8:$K$185,"2028",'2026'!$J$8:$J$185,"&gt;4",'2026'!$R$8:$R$185,"область50м")</f>
        <v>0</v>
      </c>
      <c r="CA57" s="29">
        <f>SUMIFS('2026'!$N$8:$N$185,'2026'!$K$8:$K$185,"2028",'2026'!$J$8:$J$185,"&gt;4",'2026'!$R$8:$R$185,"область50м")</f>
        <v>0</v>
      </c>
      <c r="CB57" s="29">
        <f t="shared" si="154"/>
        <v>0</v>
      </c>
      <c r="CC57" s="63"/>
      <c r="CD57" s="63"/>
      <c r="CE57" s="36"/>
      <c r="CF57" s="29">
        <f>SUMIFS('2026'!$B$8:$B$185,'2026'!$K$8:$K$185,"2028",'2026'!$J$8:$J$185,"&gt;4",'2026'!$R$8:$R$185,"район50м")</f>
        <v>0</v>
      </c>
      <c r="CG57" s="29">
        <f>SUMIFS('2026'!$N$8:$N$185,'2026'!$K$8:$K$185,"2028",'2026'!$J$8:$J$185,"&gt;4",'2026'!$R$8:$R$185,"район50м")</f>
        <v>0</v>
      </c>
      <c r="CH57" s="30">
        <f t="shared" si="181"/>
        <v>0</v>
      </c>
      <c r="CI57" s="63"/>
      <c r="CJ57" s="63"/>
      <c r="CK57" s="36"/>
      <c r="CL57" s="29">
        <f>SUMIFS('2026'!$B$8:$B$185,'2026'!$K$8:$K$185,"2028",'2026'!$J$8:$J$185,"&gt;4",'2026'!$R$8:$R$185,"райпо")</f>
        <v>0</v>
      </c>
      <c r="CM57" s="29">
        <f>SUMIFS('2026'!$N$8:$N$185,'2026'!$K$8:$K$185,"2028",'2026'!$J$8:$J$185,"&gt;4",'2026'!$R$8:$R$185,"райпо")</f>
        <v>0</v>
      </c>
      <c r="CN57" s="43">
        <f t="shared" si="182"/>
        <v>0</v>
      </c>
      <c r="CO57" s="63"/>
      <c r="CP57" s="63"/>
      <c r="CQ57" s="36"/>
      <c r="CR57" s="29">
        <f>SUMIFS('2026'!$B$8:$B$185,'2026'!$K$8:$K$185,"2028",'2026'!$J$8:$J$185,"&gt;4",'2026'!$R$8:$R$185,"инаяч")</f>
        <v>0</v>
      </c>
      <c r="CS57" s="32">
        <f>SUMIFS('2026'!$N$8:$N$185,'2026'!$K$8:$K$185,"2028",'2026'!$J$8:$J$185,"&gt;4",'2026'!$R$8:$R$185,"инаяч")</f>
        <v>0</v>
      </c>
      <c r="CT57" s="44">
        <f t="shared" si="160"/>
        <v>0</v>
      </c>
      <c r="CU57" s="63"/>
      <c r="CV57" s="63"/>
      <c r="CW57" s="36"/>
      <c r="CX57" s="29">
        <f>SUMIFS('2026'!$B$8:$B$185,'2026'!$K$8:$K$185,"2028",'2026'!$J$8:$J$185,"&gt;4",'2026'!$R$8:$R$185,"бесхозяйное")</f>
        <v>0</v>
      </c>
      <c r="CY57" s="32">
        <f>SUMIFS('2026'!$N$8:$N$185,'2026'!$K$8:$K$185,"2028",'2026'!$J$8:$J$185,"&gt;4",'2026'!$R$8:$R$185,"бесхозяйное")</f>
        <v>0</v>
      </c>
      <c r="DB57" s="46">
        <f t="shared" si="123"/>
        <v>0</v>
      </c>
      <c r="DC57" s="38">
        <f t="shared" si="199"/>
        <v>0</v>
      </c>
      <c r="DD57" s="38">
        <f t="shared" si="199"/>
        <v>0</v>
      </c>
      <c r="DE57" s="39">
        <f t="shared" si="200"/>
        <v>0</v>
      </c>
      <c r="DF57" s="47">
        <f t="shared" si="201"/>
        <v>0</v>
      </c>
      <c r="DG57" s="48">
        <f t="shared" si="201"/>
        <v>0</v>
      </c>
      <c r="DH57" s="49">
        <f>AL57+BP57</f>
        <v>0</v>
      </c>
      <c r="DI57" s="47"/>
      <c r="DJ57" s="47"/>
      <c r="DK57" s="50"/>
      <c r="DL57" s="47">
        <f t="shared" si="202"/>
        <v>0</v>
      </c>
      <c r="DM57" s="48">
        <f t="shared" si="202"/>
        <v>0</v>
      </c>
      <c r="DN57" s="49">
        <f t="shared" si="202"/>
        <v>0</v>
      </c>
      <c r="DO57" s="47"/>
      <c r="DP57" s="47"/>
      <c r="DQ57" s="50"/>
      <c r="DR57" s="47">
        <f t="shared" si="203"/>
        <v>0</v>
      </c>
      <c r="DS57" s="48">
        <f t="shared" si="203"/>
        <v>0</v>
      </c>
      <c r="DT57" s="49">
        <f t="shared" si="203"/>
        <v>0</v>
      </c>
      <c r="DU57" s="47"/>
      <c r="DV57" s="47"/>
      <c r="DW57" s="50"/>
      <c r="DX57" s="47">
        <f t="shared" si="204"/>
        <v>0</v>
      </c>
      <c r="DY57" s="48">
        <f t="shared" si="204"/>
        <v>0</v>
      </c>
    </row>
    <row r="58" spans="1:129" s="45" customFormat="1" ht="15.75" x14ac:dyDescent="0.25">
      <c r="A58" s="67">
        <v>2029</v>
      </c>
      <c r="B58" s="42">
        <f t="shared" si="127"/>
        <v>8</v>
      </c>
      <c r="C58" s="30"/>
      <c r="D58" s="30"/>
      <c r="E58" s="31"/>
      <c r="F58" s="42">
        <f t="shared" si="129"/>
        <v>8</v>
      </c>
      <c r="G58" s="52">
        <f t="shared" si="129"/>
        <v>30.4</v>
      </c>
      <c r="H58" s="53">
        <f t="shared" si="169"/>
        <v>0</v>
      </c>
      <c r="I58" s="34"/>
      <c r="J58" s="34"/>
      <c r="K58" s="35"/>
      <c r="L58" s="42">
        <f t="shared" si="171"/>
        <v>0</v>
      </c>
      <c r="M58" s="52">
        <f t="shared" si="171"/>
        <v>0</v>
      </c>
      <c r="N58" s="53">
        <f t="shared" si="172"/>
        <v>0</v>
      </c>
      <c r="O58" s="54"/>
      <c r="P58" s="54"/>
      <c r="Q58" s="41"/>
      <c r="R58" s="54">
        <f>SUM(R59:R62)</f>
        <v>0</v>
      </c>
      <c r="S58" s="54">
        <f>SUM(S59:S62)</f>
        <v>0</v>
      </c>
      <c r="T58" s="42">
        <f t="shared" si="173"/>
        <v>0</v>
      </c>
      <c r="U58" s="54"/>
      <c r="V58" s="54"/>
      <c r="W58" s="41"/>
      <c r="X58" s="54">
        <f>SUM(X59:X62)</f>
        <v>0</v>
      </c>
      <c r="Y58" s="54">
        <f>SUM(Y59:Y62)</f>
        <v>0</v>
      </c>
      <c r="Z58" s="42">
        <f t="shared" si="136"/>
        <v>0</v>
      </c>
      <c r="AA58" s="54"/>
      <c r="AB58" s="54"/>
      <c r="AC58" s="41"/>
      <c r="AD58" s="54">
        <f>SUM(AD59:AD62)</f>
        <v>0</v>
      </c>
      <c r="AE58" s="55">
        <f>SUM(AE59:AE62)</f>
        <v>0</v>
      </c>
      <c r="AF58" s="56">
        <f t="shared" si="138"/>
        <v>8</v>
      </c>
      <c r="AG58" s="38"/>
      <c r="AH58" s="38"/>
      <c r="AI58" s="39"/>
      <c r="AJ58" s="42">
        <f t="shared" ref="AJ58" si="205">AP58+AV58+BB58</f>
        <v>8</v>
      </c>
      <c r="AK58" s="52">
        <f t="shared" si="175"/>
        <v>30.4</v>
      </c>
      <c r="AL58" s="56">
        <f t="shared" si="140"/>
        <v>0</v>
      </c>
      <c r="AM58" s="54"/>
      <c r="AN58" s="54"/>
      <c r="AO58" s="41"/>
      <c r="AP58" s="54">
        <f>SUM(AP59:AP62)</f>
        <v>0</v>
      </c>
      <c r="AQ58" s="54">
        <f>SUM(AQ59:AQ62)</f>
        <v>0</v>
      </c>
      <c r="AR58" s="42">
        <f t="shared" si="142"/>
        <v>4</v>
      </c>
      <c r="AS58" s="54"/>
      <c r="AT58" s="54"/>
      <c r="AU58" s="41"/>
      <c r="AV58" s="54">
        <f>SUM(AV59:AV62)</f>
        <v>4</v>
      </c>
      <c r="AW58" s="54">
        <f>SUM(AW59:AW62)</f>
        <v>16.3</v>
      </c>
      <c r="AX58" s="42">
        <f t="shared" si="144"/>
        <v>4</v>
      </c>
      <c r="AY58" s="54"/>
      <c r="AZ58" s="54"/>
      <c r="BA58" s="41"/>
      <c r="BB58" s="54">
        <f>SUM(BB59:BB62)</f>
        <v>4</v>
      </c>
      <c r="BC58" s="55">
        <f>SUM(BC59:BC62)</f>
        <v>14.1</v>
      </c>
      <c r="BD58" s="57">
        <f t="shared" si="176"/>
        <v>0</v>
      </c>
      <c r="BE58" s="58">
        <f t="shared" si="177"/>
        <v>0</v>
      </c>
      <c r="BF58" s="58">
        <f t="shared" si="177"/>
        <v>0</v>
      </c>
      <c r="BG58" s="59">
        <f t="shared" ref="BG58" si="206">IFERROR(BF58/BE58*100,0)</f>
        <v>0</v>
      </c>
      <c r="BH58" s="54">
        <f t="shared" si="190"/>
        <v>0</v>
      </c>
      <c r="BI58" s="55">
        <f t="shared" si="183"/>
        <v>0</v>
      </c>
      <c r="BJ58" s="57">
        <f t="shared" si="178"/>
        <v>0</v>
      </c>
      <c r="BK58" s="54"/>
      <c r="BL58" s="54"/>
      <c r="BM58" s="59"/>
      <c r="BN58" s="54">
        <f t="shared" ref="BN58" si="207">BT58+BZ58+CF58</f>
        <v>0</v>
      </c>
      <c r="BO58" s="54">
        <f t="shared" si="180"/>
        <v>0</v>
      </c>
      <c r="BP58" s="54">
        <f t="shared" si="150"/>
        <v>0</v>
      </c>
      <c r="BQ58" s="54"/>
      <c r="BR58" s="54"/>
      <c r="BS58" s="41"/>
      <c r="BT58" s="54">
        <f>SUM(BT59:BT62)</f>
        <v>0</v>
      </c>
      <c r="BU58" s="54">
        <f>SUM(BU59:BU62)</f>
        <v>0</v>
      </c>
      <c r="BV58" s="54">
        <f t="shared" si="152"/>
        <v>0</v>
      </c>
      <c r="BW58" s="54"/>
      <c r="BX58" s="54"/>
      <c r="BY58" s="41"/>
      <c r="BZ58" s="54">
        <f>SUM(BZ59:BZ62)</f>
        <v>0</v>
      </c>
      <c r="CA58" s="54">
        <f>SUM(CA59:CA62)</f>
        <v>0</v>
      </c>
      <c r="CB58" s="42">
        <f t="shared" si="154"/>
        <v>0</v>
      </c>
      <c r="CC58" s="54"/>
      <c r="CD58" s="54"/>
      <c r="CE58" s="41"/>
      <c r="CF58" s="54">
        <f>SUM(CF59:CF62)</f>
        <v>0</v>
      </c>
      <c r="CG58" s="54">
        <f>SUM(CG59:CG62)</f>
        <v>0</v>
      </c>
      <c r="CH58" s="30">
        <f t="shared" si="181"/>
        <v>0</v>
      </c>
      <c r="CI58" s="54"/>
      <c r="CJ58" s="54"/>
      <c r="CK58" s="41"/>
      <c r="CL58" s="54">
        <f>SUM(CL59:CL62)</f>
        <v>0</v>
      </c>
      <c r="CM58" s="54">
        <f>SUM(CM59:CM62)</f>
        <v>0</v>
      </c>
      <c r="CN58" s="43">
        <f t="shared" si="182"/>
        <v>0</v>
      </c>
      <c r="CO58" s="54"/>
      <c r="CP58" s="54"/>
      <c r="CQ58" s="41"/>
      <c r="CR58" s="54">
        <f>SUM(CR59:CR62)</f>
        <v>0</v>
      </c>
      <c r="CS58" s="55">
        <f>SUM(CS59:CS62)</f>
        <v>0</v>
      </c>
      <c r="CT58" s="44">
        <f t="shared" si="160"/>
        <v>0</v>
      </c>
      <c r="CU58" s="54"/>
      <c r="CV58" s="54"/>
      <c r="CW58" s="41"/>
      <c r="CX58" s="54">
        <f>SUM(CX59:CX62)</f>
        <v>0</v>
      </c>
      <c r="CY58" s="55">
        <f>SUM(CY59:CY62)</f>
        <v>0</v>
      </c>
      <c r="DB58" s="60">
        <f t="shared" si="123"/>
        <v>8</v>
      </c>
      <c r="DC58" s="61">
        <f>SUM(DC59:DC62)</f>
        <v>0</v>
      </c>
      <c r="DD58" s="61">
        <f>SUM(DD59:DD62)</f>
        <v>0</v>
      </c>
      <c r="DE58" s="62">
        <f>IFERROR(DD58/DC58*100,0)</f>
        <v>0</v>
      </c>
      <c r="DF58" s="63">
        <f>SUM(DF59:DF62)</f>
        <v>8</v>
      </c>
      <c r="DG58" s="64">
        <f>SUM(DG59:DG62)</f>
        <v>30.4</v>
      </c>
      <c r="DH58" s="65">
        <f>DI58+DL58</f>
        <v>0</v>
      </c>
      <c r="DI58" s="63"/>
      <c r="DJ58" s="63"/>
      <c r="DK58" s="66"/>
      <c r="DL58" s="63">
        <f>SUM(DL59:DL62)</f>
        <v>0</v>
      </c>
      <c r="DM58" s="64">
        <f>SUM(DM59:DM62)</f>
        <v>0</v>
      </c>
      <c r="DN58" s="65">
        <f>DO58+DR58</f>
        <v>4</v>
      </c>
      <c r="DO58" s="63"/>
      <c r="DP58" s="63"/>
      <c r="DQ58" s="66"/>
      <c r="DR58" s="63">
        <f>SUM(DR59:DR62)</f>
        <v>4</v>
      </c>
      <c r="DS58" s="64">
        <f>SUM(DS59:DS62)</f>
        <v>16.3</v>
      </c>
      <c r="DT58" s="65">
        <f>DU58+DX58</f>
        <v>4</v>
      </c>
      <c r="DU58" s="63"/>
      <c r="DV58" s="63"/>
      <c r="DW58" s="66"/>
      <c r="DX58" s="63">
        <f>SUM(DX59:DX62)</f>
        <v>4</v>
      </c>
      <c r="DY58" s="64">
        <f>SUM(DY59:DY62)</f>
        <v>14.1</v>
      </c>
    </row>
    <row r="59" spans="1:129" s="45" customFormat="1" ht="15.75" customHeight="1" x14ac:dyDescent="0.25">
      <c r="A59" s="28" t="s">
        <v>184</v>
      </c>
      <c r="B59" s="29">
        <f t="shared" si="127"/>
        <v>0</v>
      </c>
      <c r="C59" s="30"/>
      <c r="D59" s="30"/>
      <c r="E59" s="31"/>
      <c r="F59" s="29">
        <f t="shared" si="129"/>
        <v>0</v>
      </c>
      <c r="G59" s="32">
        <f t="shared" si="129"/>
        <v>0</v>
      </c>
      <c r="H59" s="33">
        <f t="shared" si="169"/>
        <v>0</v>
      </c>
      <c r="I59" s="34"/>
      <c r="J59" s="34"/>
      <c r="K59" s="35"/>
      <c r="L59" s="29">
        <f t="shared" si="171"/>
        <v>0</v>
      </c>
      <c r="M59" s="32">
        <f t="shared" si="171"/>
        <v>0</v>
      </c>
      <c r="N59" s="33">
        <f t="shared" si="172"/>
        <v>0</v>
      </c>
      <c r="O59" s="63"/>
      <c r="P59" s="63"/>
      <c r="Q59" s="36"/>
      <c r="R59" s="29">
        <f>SUMIFS('2026'!$B$8:$B$185,'2026'!$K$8:$K$185,"2029",'2026'!$J$8:$J$185,"&lt;3",'2026'!$R$8:$R$185,"республика")</f>
        <v>0</v>
      </c>
      <c r="S59" s="29">
        <f>SUMIFS('2026'!$N$8:$N$185,'2026'!$K$8:$K$185,"2029",'2026'!$J$8:$J$185,"&lt;3",'2026'!$R$8:$R$185,"республика")</f>
        <v>0</v>
      </c>
      <c r="T59" s="29">
        <f t="shared" si="173"/>
        <v>0</v>
      </c>
      <c r="U59" s="63"/>
      <c r="V59" s="63"/>
      <c r="W59" s="36"/>
      <c r="X59" s="29">
        <f>SUMIFS('2026'!$B$8:$B$185,'2026'!$K$8:$K$185,"2029",'2026'!$J$8:$J$185,"&lt;3",'2026'!$R$8:$R$185,"область")</f>
        <v>0</v>
      </c>
      <c r="Y59" s="29">
        <f>SUMIFS('2026'!$N$8:$N$185,'2026'!$K$8:$K$185,"2029",'2026'!$J$8:$J$185,"&lt;3",'2026'!$R$8:$R$185,"область")</f>
        <v>0</v>
      </c>
      <c r="Z59" s="29">
        <f t="shared" si="136"/>
        <v>0</v>
      </c>
      <c r="AA59" s="63"/>
      <c r="AB59" s="63"/>
      <c r="AC59" s="36"/>
      <c r="AD59" s="29">
        <f>SUMIFS('2026'!$B$8:$B$185,'2026'!$K$8:$K$185,"2029",'2026'!$J$8:$J$185,"&lt;3",'2026'!$R$8:$R$185,"район")</f>
        <v>0</v>
      </c>
      <c r="AE59" s="32">
        <f>SUMIFS('2026'!$N$8:$N$185,'2026'!$K$8:$K$185,"2029",'2026'!$J$8:$J$185,"&lt;3",'2026'!$R$8:$R$185,"район")</f>
        <v>0</v>
      </c>
      <c r="AF59" s="37">
        <f t="shared" si="138"/>
        <v>0</v>
      </c>
      <c r="AG59" s="38"/>
      <c r="AH59" s="38"/>
      <c r="AI59" s="39"/>
      <c r="AJ59" s="29">
        <f>AP59+AV59+BB59</f>
        <v>0</v>
      </c>
      <c r="AK59" s="32">
        <f t="shared" ref="AK59:AK67" si="208">AQ59+AW59+BC59</f>
        <v>0</v>
      </c>
      <c r="AL59" s="37">
        <f t="shared" si="140"/>
        <v>0</v>
      </c>
      <c r="AM59" s="63"/>
      <c r="AN59" s="63"/>
      <c r="AO59" s="36"/>
      <c r="AP59" s="29">
        <f>SUMIFS('2026'!$B$8:$B$185,'2026'!$K$8:$K$185,"2029",'2026'!$J$8:$J$185,"&lt;3",'2026'!$R$8:$R$185,"республика50б")</f>
        <v>0</v>
      </c>
      <c r="AQ59" s="29">
        <f>SUMIFS('2026'!$N$8:$N$185,'2026'!$K$8:$K$185,"2029",'2026'!$J$8:$J$185,"&lt;3",'2026'!$R$8:$R$185,"республика50б")</f>
        <v>0</v>
      </c>
      <c r="AR59" s="29">
        <f t="shared" si="142"/>
        <v>0</v>
      </c>
      <c r="AS59" s="63"/>
      <c r="AT59" s="63"/>
      <c r="AU59" s="36"/>
      <c r="AV59" s="29">
        <f>SUMIFS('2026'!$B$8:$B$185,'2026'!$K$8:$K$185,"2029",'2026'!$J$8:$J$185,"&lt;3",'2026'!$R$8:$R$185,"область50б")</f>
        <v>0</v>
      </c>
      <c r="AW59" s="29">
        <f>SUMIFS('2026'!$N$8:$N$185,'2026'!$K$8:$K$185,"2029",'2026'!$J$8:$J$185,"&lt;3",'2026'!$R$8:$R$185,"область50б")</f>
        <v>0</v>
      </c>
      <c r="AX59" s="29">
        <f t="shared" si="144"/>
        <v>0</v>
      </c>
      <c r="AY59" s="63"/>
      <c r="AZ59" s="63"/>
      <c r="BA59" s="36"/>
      <c r="BB59" s="29">
        <f>SUMIFS('2026'!$B$8:$B$185,'2026'!$K$8:$K$185,"2029",'2026'!$J$8:$J$185,"&lt;3",'2026'!$R$8:$R$185,"район50б")</f>
        <v>0</v>
      </c>
      <c r="BC59" s="32">
        <f>SUMIFS('2026'!$N$8:$N$185,'2026'!$K$8:$K$185,"2029",'2026'!$J$8:$J$185,"&lt;3",'2026'!$R$8:$R$185,"район50б")</f>
        <v>0</v>
      </c>
      <c r="BD59" s="37">
        <f t="shared" si="176"/>
        <v>0</v>
      </c>
      <c r="BE59" s="40">
        <f t="shared" si="177"/>
        <v>0</v>
      </c>
      <c r="BF59" s="40">
        <f t="shared" si="177"/>
        <v>0</v>
      </c>
      <c r="BG59" s="41"/>
      <c r="BH59" s="29">
        <f t="shared" si="190"/>
        <v>0</v>
      </c>
      <c r="BI59" s="32">
        <f t="shared" si="183"/>
        <v>0</v>
      </c>
      <c r="BJ59" s="37">
        <f t="shared" si="178"/>
        <v>0</v>
      </c>
      <c r="BK59" s="42"/>
      <c r="BL59" s="42"/>
      <c r="BM59" s="41"/>
      <c r="BN59" s="29">
        <f>BT59+BZ59+CF59</f>
        <v>0</v>
      </c>
      <c r="BO59" s="29">
        <f t="shared" ref="BO59:BO67" si="209">BU59+CA59+CG59</f>
        <v>0</v>
      </c>
      <c r="BP59" s="29">
        <f t="shared" si="150"/>
        <v>0</v>
      </c>
      <c r="BQ59" s="63"/>
      <c r="BR59" s="63"/>
      <c r="BS59" s="36"/>
      <c r="BT59" s="29">
        <f>SUMIFS('2026'!$B$8:$B$185,'2026'!$K$8:$K$185,"2029",'2026'!$J$8:$J$185,"&lt;3",'2026'!$R$8:$R$185,"республика50м")</f>
        <v>0</v>
      </c>
      <c r="BU59" s="29">
        <f>SUMIFS('2026'!$N$8:$N$185,'2026'!$K$8:$K$185,"2029",'2026'!$J$8:$J$185,"&lt;3",'2026'!$R$8:$R$185,"республика50м")</f>
        <v>0</v>
      </c>
      <c r="BV59" s="29">
        <f t="shared" si="152"/>
        <v>0</v>
      </c>
      <c r="BW59" s="63"/>
      <c r="BX59" s="63"/>
      <c r="BY59" s="36"/>
      <c r="BZ59" s="29">
        <f>SUMIFS('2026'!$B$8:$B$185,'2026'!$K$8:$K$185,"2029",'2026'!$J$8:$J$185,"&lt;3",'2026'!$R$8:$R$185,"область50м")</f>
        <v>0</v>
      </c>
      <c r="CA59" s="29">
        <f>SUMIFS('2026'!$N$8:$N$185,'2026'!$K$8:$K$185,"2029",'2026'!$J$8:$J$185,"&lt;3",'2026'!$R$8:$R$185,"область50м")</f>
        <v>0</v>
      </c>
      <c r="CB59" s="29">
        <f t="shared" si="154"/>
        <v>0</v>
      </c>
      <c r="CC59" s="63"/>
      <c r="CD59" s="63"/>
      <c r="CE59" s="36"/>
      <c r="CF59" s="29">
        <f>SUMIFS('2026'!$B$8:$B$185,'2026'!$K$8:$K$185,"2029",'2026'!$J$8:$J$185,"&lt;3",'2026'!$R$8:$R$185,"район50м")</f>
        <v>0</v>
      </c>
      <c r="CG59" s="29">
        <f>SUMIFS('2026'!$N$8:$N$185,'2026'!$K$8:$K$185,"2029",'2026'!$J$8:$J$185,"&lt;3",'2026'!$R$8:$R$185,"район50м")</f>
        <v>0</v>
      </c>
      <c r="CH59" s="30">
        <f t="shared" si="181"/>
        <v>0</v>
      </c>
      <c r="CI59" s="63"/>
      <c r="CJ59" s="63"/>
      <c r="CK59" s="36"/>
      <c r="CL59" s="29">
        <f>SUMIFS('2026'!$B$8:$B$185,'2026'!$K$8:$K$185,"2029",'2026'!$J$8:$J$185,"&lt;3",'2026'!$R$8:$R$185,"райпо")</f>
        <v>0</v>
      </c>
      <c r="CM59" s="29">
        <f>SUMIFS('2026'!$N$8:$N$185,'2026'!$K$8:$K$185,"2029",'2026'!$J$8:$J$185,"&lt;3",'2026'!$R$8:$R$185,"райпо")</f>
        <v>0</v>
      </c>
      <c r="CN59" s="43">
        <f t="shared" si="182"/>
        <v>0</v>
      </c>
      <c r="CO59" s="63"/>
      <c r="CP59" s="63"/>
      <c r="CQ59" s="36"/>
      <c r="CR59" s="29">
        <f>SUMIFS('2026'!$B$8:$B$185,'2026'!$K$8:$K$185,"2029",'2026'!$J$8:$J$185,"&lt;3",'2026'!$R$8:$R$185,"инаяч")</f>
        <v>0</v>
      </c>
      <c r="CS59" s="32">
        <f>SUMIFS('2026'!$N$8:$N$185,'2026'!$K$8:$K$185,"2029",'2026'!$J$8:$J$185,"&lt;3",'2026'!$R$8:$R$185,"инаяч")</f>
        <v>0</v>
      </c>
      <c r="CT59" s="44">
        <f t="shared" si="160"/>
        <v>0</v>
      </c>
      <c r="CU59" s="63"/>
      <c r="CV59" s="63"/>
      <c r="CW59" s="36"/>
      <c r="CX59" s="29">
        <f>SUMIFS('2026'!$B$8:$B$185,'2026'!$K$8:$K$185,"2029",'2026'!$J$8:$J$185,"&lt;3",'2026'!$R$8:$R$185,"бесхозяйное")</f>
        <v>0</v>
      </c>
      <c r="CY59" s="32">
        <f>SUMIFS('2026'!$N$8:$N$185,'2026'!$K$8:$K$185,"2029",'2026'!$J$8:$J$185,"&lt;3",'2026'!$R$8:$R$185,"бесхозяйное")</f>
        <v>0</v>
      </c>
      <c r="DB59" s="46">
        <f t="shared" si="123"/>
        <v>0</v>
      </c>
      <c r="DC59" s="38">
        <f t="shared" ref="DC59:DD62" si="210">DI59+DO59+DU59</f>
        <v>0</v>
      </c>
      <c r="DD59" s="38">
        <f t="shared" si="210"/>
        <v>0</v>
      </c>
      <c r="DE59" s="39">
        <f t="shared" ref="DE59:DE62" si="211">IFERROR(DD59/DC59*100,0)</f>
        <v>0</v>
      </c>
      <c r="DF59" s="47">
        <f t="shared" ref="DF59:DG62" si="212">DL59+DR59+DX59</f>
        <v>0</v>
      </c>
      <c r="DG59" s="48">
        <f t="shared" si="212"/>
        <v>0</v>
      </c>
      <c r="DH59" s="49">
        <f>AL59+BP59</f>
        <v>0</v>
      </c>
      <c r="DI59" s="47"/>
      <c r="DJ59" s="47"/>
      <c r="DK59" s="50"/>
      <c r="DL59" s="47">
        <f t="shared" ref="DL59:DN62" si="213">AP59+BT59</f>
        <v>0</v>
      </c>
      <c r="DM59" s="48">
        <f t="shared" si="213"/>
        <v>0</v>
      </c>
      <c r="DN59" s="49">
        <f t="shared" si="213"/>
        <v>0</v>
      </c>
      <c r="DO59" s="47"/>
      <c r="DP59" s="47"/>
      <c r="DQ59" s="50"/>
      <c r="DR59" s="47">
        <f t="shared" ref="DR59:DT62" si="214">AV59+BZ59</f>
        <v>0</v>
      </c>
      <c r="DS59" s="48">
        <f t="shared" si="214"/>
        <v>0</v>
      </c>
      <c r="DT59" s="49">
        <f t="shared" si="214"/>
        <v>0</v>
      </c>
      <c r="DU59" s="47"/>
      <c r="DV59" s="47"/>
      <c r="DW59" s="50"/>
      <c r="DX59" s="47">
        <f t="shared" ref="DX59:DY62" si="215">BB59+CF59</f>
        <v>0</v>
      </c>
      <c r="DY59" s="48">
        <f t="shared" si="215"/>
        <v>0</v>
      </c>
    </row>
    <row r="60" spans="1:129" s="45" customFormat="1" ht="15.75" customHeight="1" x14ac:dyDescent="0.25">
      <c r="A60" s="28" t="s">
        <v>185</v>
      </c>
      <c r="B60" s="29">
        <f t="shared" si="127"/>
        <v>2</v>
      </c>
      <c r="C60" s="30"/>
      <c r="D60" s="30"/>
      <c r="E60" s="31"/>
      <c r="F60" s="29">
        <f t="shared" si="129"/>
        <v>2</v>
      </c>
      <c r="G60" s="32">
        <f t="shared" si="129"/>
        <v>2.7</v>
      </c>
      <c r="H60" s="33">
        <f t="shared" si="169"/>
        <v>0</v>
      </c>
      <c r="I60" s="34"/>
      <c r="J60" s="34"/>
      <c r="K60" s="35"/>
      <c r="L60" s="29">
        <f t="shared" si="171"/>
        <v>0</v>
      </c>
      <c r="M60" s="32">
        <f t="shared" si="171"/>
        <v>0</v>
      </c>
      <c r="N60" s="33">
        <f t="shared" si="172"/>
        <v>0</v>
      </c>
      <c r="O60" s="63"/>
      <c r="P60" s="63"/>
      <c r="Q60" s="36"/>
      <c r="R60" s="29">
        <f>SUMIFS('2026'!$B$8:$B$185,'2026'!$K$8:$K$185,"2029",'2026'!$J$8:$J$185,"3",'2026'!$R$8:$R$185,"республика")</f>
        <v>0</v>
      </c>
      <c r="S60" s="29">
        <f>SUMIFS('2026'!$N$8:$N$185,'2026'!$K$8:$K$185,"2029",'2026'!$J$8:$J$185,"3",'2026'!$R$8:$R$185,"республика")</f>
        <v>0</v>
      </c>
      <c r="T60" s="29">
        <f t="shared" si="173"/>
        <v>0</v>
      </c>
      <c r="U60" s="63"/>
      <c r="V60" s="63"/>
      <c r="W60" s="36"/>
      <c r="X60" s="29">
        <f>SUMIFS('2026'!$B$8:$B$185,'2026'!$K$8:$K$185,"2029",'2026'!$J$8:$J$185,"3",'2026'!$R$8:$R$185,"область")</f>
        <v>0</v>
      </c>
      <c r="Y60" s="29">
        <f>SUMIFS('2026'!$N$8:$N$185,'2026'!$K$8:$K$185,"2029",'2026'!$J$8:$J$185,"3",'2026'!$R$8:$R$185,"область")</f>
        <v>0</v>
      </c>
      <c r="Z60" s="29">
        <f t="shared" si="136"/>
        <v>0</v>
      </c>
      <c r="AA60" s="63"/>
      <c r="AB60" s="63"/>
      <c r="AC60" s="36"/>
      <c r="AD60" s="29">
        <f>SUMIFS('2026'!$B$8:$B$185,'2026'!$K$8:$K$185,"2029",'2026'!$J$8:$J$185,"3",'2026'!$R$8:$R$185,"район")</f>
        <v>0</v>
      </c>
      <c r="AE60" s="32">
        <f>SUMIFS('2026'!$N$8:$N$185,'2026'!$K$8:$K$185,"2029",'2026'!$J$8:$J$185,"3",'2026'!$R$8:$R$185,"район")</f>
        <v>0</v>
      </c>
      <c r="AF60" s="37">
        <f t="shared" si="138"/>
        <v>2</v>
      </c>
      <c r="AG60" s="38"/>
      <c r="AH60" s="38"/>
      <c r="AI60" s="39"/>
      <c r="AJ60" s="29">
        <f>AP60+AV60+BB60</f>
        <v>2</v>
      </c>
      <c r="AK60" s="32">
        <f t="shared" si="208"/>
        <v>2.7</v>
      </c>
      <c r="AL60" s="37">
        <f t="shared" si="140"/>
        <v>0</v>
      </c>
      <c r="AM60" s="63"/>
      <c r="AN60" s="63"/>
      <c r="AO60" s="36"/>
      <c r="AP60" s="29">
        <f>SUMIFS('2026'!$B$8:$B$185,'2026'!$K$8:$K$185,"2029",'2026'!$J$8:$J$185,"3",'2026'!$R$8:$R$185,"республика50б")</f>
        <v>0</v>
      </c>
      <c r="AQ60" s="29">
        <f>SUMIFS('2026'!$N$8:$N$185,'2026'!$K$8:$K$185,"2029",'2026'!$J$8:$J$185,"3",'2026'!$R$8:$R$185,"республика50б")</f>
        <v>0</v>
      </c>
      <c r="AR60" s="29">
        <f t="shared" si="142"/>
        <v>0</v>
      </c>
      <c r="AS60" s="63"/>
      <c r="AT60" s="63"/>
      <c r="AU60" s="36"/>
      <c r="AV60" s="29">
        <f>SUMIFS('2026'!$B$8:$B$185,'2026'!$K$8:$K$185,"2029",'2026'!$J$8:$J$185,"3",'2026'!$R$8:$R$185,"область50б")</f>
        <v>0</v>
      </c>
      <c r="AW60" s="29">
        <f>SUMIFS('2026'!$N$8:$N$185,'2026'!$K$8:$K$185,"2029",'2026'!$J$8:$J$185,"3",'2026'!$R$8:$R$185,"область50б")</f>
        <v>0</v>
      </c>
      <c r="AX60" s="29">
        <f t="shared" si="144"/>
        <v>2</v>
      </c>
      <c r="AY60" s="63"/>
      <c r="AZ60" s="63"/>
      <c r="BA60" s="36"/>
      <c r="BB60" s="29">
        <f>SUMIFS('2026'!$B$8:$B$185,'2026'!$K$8:$K$185,"2029",'2026'!$J$8:$J$185,"3",'2026'!$R$8:$R$185,"район50б")</f>
        <v>2</v>
      </c>
      <c r="BC60" s="32">
        <f>SUMIFS('2026'!$N$8:$N$185,'2026'!$K$8:$K$185,"2029",'2026'!$J$8:$J$185,"3",'2026'!$R$8:$R$185,"район50б")</f>
        <v>2.7</v>
      </c>
      <c r="BD60" s="37">
        <f t="shared" si="176"/>
        <v>0</v>
      </c>
      <c r="BE60" s="40">
        <f t="shared" si="177"/>
        <v>0</v>
      </c>
      <c r="BF60" s="40">
        <f t="shared" si="177"/>
        <v>0</v>
      </c>
      <c r="BG60" s="41"/>
      <c r="BH60" s="29">
        <f t="shared" si="190"/>
        <v>0</v>
      </c>
      <c r="BI60" s="32">
        <f t="shared" si="183"/>
        <v>0</v>
      </c>
      <c r="BJ60" s="37">
        <f t="shared" si="178"/>
        <v>0</v>
      </c>
      <c r="BK60" s="42"/>
      <c r="BL60" s="42"/>
      <c r="BM60" s="41"/>
      <c r="BN60" s="29">
        <f>BT60+BZ60+CF60</f>
        <v>0</v>
      </c>
      <c r="BO60" s="29">
        <f t="shared" si="209"/>
        <v>0</v>
      </c>
      <c r="BP60" s="29">
        <f t="shared" si="150"/>
        <v>0</v>
      </c>
      <c r="BQ60" s="63"/>
      <c r="BR60" s="63"/>
      <c r="BS60" s="36"/>
      <c r="BT60" s="29">
        <f>SUMIFS('2026'!$B$8:$B$185,'2026'!$K$8:$K$185,"2029",'2026'!$J$8:$J$185,"3",'2026'!$R$8:$R$185,"республика50м")</f>
        <v>0</v>
      </c>
      <c r="BU60" s="29">
        <f>SUMIFS('2026'!$N$8:$N$185,'2026'!$K$8:$K$185,"2029",'2026'!$J$8:$J$185,"3",'2026'!$R$8:$R$185,"республика50м")</f>
        <v>0</v>
      </c>
      <c r="BV60" s="29">
        <f t="shared" si="152"/>
        <v>0</v>
      </c>
      <c r="BW60" s="63"/>
      <c r="BX60" s="63"/>
      <c r="BY60" s="36"/>
      <c r="BZ60" s="29">
        <f>SUMIFS('2026'!$B$8:$B$185,'2026'!$K$8:$K$185,"2029",'2026'!$J$8:$J$185,"3",'2026'!$R$8:$R$185,"область50м")</f>
        <v>0</v>
      </c>
      <c r="CA60" s="29">
        <f>SUMIFS('2026'!$N$8:$N$185,'2026'!$K$8:$K$185,"2029",'2026'!$J$8:$J$185,"3",'2026'!$R$8:$R$185,"область50м")</f>
        <v>0</v>
      </c>
      <c r="CB60" s="29">
        <f t="shared" si="154"/>
        <v>0</v>
      </c>
      <c r="CC60" s="63"/>
      <c r="CD60" s="63"/>
      <c r="CE60" s="36"/>
      <c r="CF60" s="29">
        <f>SUMIFS('2026'!$B$8:$B$185,'2026'!$K$8:$K$185,"2029",'2026'!$J$8:$J$185,"3",'2026'!$R$8:$R$185,"район50м")</f>
        <v>0</v>
      </c>
      <c r="CG60" s="29">
        <f>SUMIFS('2026'!$N$8:$N$185,'2026'!$K$8:$K$185,"2029",'2026'!$J$8:$J$185,"3",'2026'!$R$8:$R$185,"район50м")</f>
        <v>0</v>
      </c>
      <c r="CH60" s="30">
        <f t="shared" si="181"/>
        <v>0</v>
      </c>
      <c r="CI60" s="63"/>
      <c r="CJ60" s="63"/>
      <c r="CK60" s="36"/>
      <c r="CL60" s="29">
        <f>SUMIFS('2026'!$B$8:$B$185,'2026'!$K$8:$K$185,"2029",'2026'!$J$8:$J$185,"3",'2026'!$R$8:$R$185,"райпо")</f>
        <v>0</v>
      </c>
      <c r="CM60" s="29">
        <f>SUMIFS('2026'!$N$8:$N$185,'2026'!$K$8:$K$185,"2029",'2026'!$J$8:$J$185,"3",'2026'!$R$8:$R$185,"райпо")</f>
        <v>0</v>
      </c>
      <c r="CN60" s="43">
        <f t="shared" si="182"/>
        <v>0</v>
      </c>
      <c r="CO60" s="63"/>
      <c r="CP60" s="63"/>
      <c r="CQ60" s="36"/>
      <c r="CR60" s="29">
        <f>SUMIFS('2026'!$B$8:$B$185,'2026'!$K$8:$K$185,"2029",'2026'!$J$8:$J$185,"3",'2026'!$R$8:$R$185,"инаяч")</f>
        <v>0</v>
      </c>
      <c r="CS60" s="32">
        <f>SUMIFS('2026'!$N$8:$N$185,'2026'!$K$8:$K$185,"2029",'2026'!$J$8:$J$185,"3",'2026'!$R$8:$R$185,"инаяч")</f>
        <v>0</v>
      </c>
      <c r="CT60" s="44">
        <f t="shared" si="160"/>
        <v>0</v>
      </c>
      <c r="CU60" s="63"/>
      <c r="CV60" s="63"/>
      <c r="CW60" s="36"/>
      <c r="CX60" s="29">
        <f>SUMIFS('2026'!$B$8:$B$185,'2026'!$K$8:$K$185,"2029",'2026'!$J$8:$J$185,"3",'2026'!$R$8:$R$185,"бесхозяйное")</f>
        <v>0</v>
      </c>
      <c r="CY60" s="32">
        <f>SUMIFS('2026'!$N$8:$N$185,'2026'!$K$8:$K$185,"2029",'2026'!$J$8:$J$185,"3",'2026'!$R$8:$R$185,"бесхозяйное")</f>
        <v>0</v>
      </c>
      <c r="DB60" s="46">
        <f t="shared" si="123"/>
        <v>2</v>
      </c>
      <c r="DC60" s="38">
        <f t="shared" si="210"/>
        <v>0</v>
      </c>
      <c r="DD60" s="38">
        <f t="shared" si="210"/>
        <v>0</v>
      </c>
      <c r="DE60" s="39">
        <f t="shared" si="211"/>
        <v>0</v>
      </c>
      <c r="DF60" s="47">
        <f t="shared" si="212"/>
        <v>2</v>
      </c>
      <c r="DG60" s="48">
        <f t="shared" si="212"/>
        <v>2.7</v>
      </c>
      <c r="DH60" s="49">
        <f>AL60+BP60</f>
        <v>0</v>
      </c>
      <c r="DI60" s="47"/>
      <c r="DJ60" s="47"/>
      <c r="DK60" s="50"/>
      <c r="DL60" s="47">
        <f t="shared" si="213"/>
        <v>0</v>
      </c>
      <c r="DM60" s="48">
        <f t="shared" si="213"/>
        <v>0</v>
      </c>
      <c r="DN60" s="49">
        <f t="shared" si="213"/>
        <v>0</v>
      </c>
      <c r="DO60" s="47"/>
      <c r="DP60" s="47"/>
      <c r="DQ60" s="50"/>
      <c r="DR60" s="47">
        <f t="shared" si="214"/>
        <v>0</v>
      </c>
      <c r="DS60" s="48">
        <f t="shared" si="214"/>
        <v>0</v>
      </c>
      <c r="DT60" s="49">
        <f t="shared" si="214"/>
        <v>2</v>
      </c>
      <c r="DU60" s="47"/>
      <c r="DV60" s="47"/>
      <c r="DW60" s="50"/>
      <c r="DX60" s="47">
        <f t="shared" si="215"/>
        <v>2</v>
      </c>
      <c r="DY60" s="48">
        <f t="shared" si="215"/>
        <v>2.7</v>
      </c>
    </row>
    <row r="61" spans="1:129" s="45" customFormat="1" ht="15.75" customHeight="1" x14ac:dyDescent="0.25">
      <c r="A61" s="28" t="s">
        <v>186</v>
      </c>
      <c r="B61" s="29">
        <f t="shared" si="127"/>
        <v>2</v>
      </c>
      <c r="C61" s="30"/>
      <c r="D61" s="30"/>
      <c r="E61" s="31"/>
      <c r="F61" s="29">
        <f t="shared" si="129"/>
        <v>2</v>
      </c>
      <c r="G61" s="32">
        <f t="shared" si="129"/>
        <v>12.5</v>
      </c>
      <c r="H61" s="33">
        <f t="shared" si="169"/>
        <v>0</v>
      </c>
      <c r="I61" s="34"/>
      <c r="J61" s="34"/>
      <c r="K61" s="35"/>
      <c r="L61" s="29">
        <f t="shared" si="171"/>
        <v>0</v>
      </c>
      <c r="M61" s="32">
        <f t="shared" si="171"/>
        <v>0</v>
      </c>
      <c r="N61" s="33">
        <f t="shared" si="172"/>
        <v>0</v>
      </c>
      <c r="O61" s="63"/>
      <c r="P61" s="63"/>
      <c r="Q61" s="36"/>
      <c r="R61" s="29">
        <f>SUMIFS('2026'!$B$8:$B$185,'2026'!$K$8:$K$185,"2029",'2026'!$J$8:$J$185,"4",'2026'!$R$8:$R$185,"республика")</f>
        <v>0</v>
      </c>
      <c r="S61" s="29">
        <f>SUMIFS('2026'!$N$8:$N$185,'2026'!$K$8:$K$185,"2029",'2026'!$J$8:$J$185,"4",'2026'!$R$8:$R$185,"республика")</f>
        <v>0</v>
      </c>
      <c r="T61" s="29">
        <f t="shared" si="173"/>
        <v>0</v>
      </c>
      <c r="U61" s="63"/>
      <c r="V61" s="63"/>
      <c r="W61" s="36"/>
      <c r="X61" s="29">
        <f>SUMIFS('2026'!$B$8:$B$185,'2026'!$K$8:$K$185,"2029",'2026'!$J$8:$J$185,"4",'2026'!$R$8:$R$185,"область")</f>
        <v>0</v>
      </c>
      <c r="Y61" s="29">
        <f>SUMIFS('2026'!$N$8:$N$185,'2026'!$K$8:$K$185,"2029",'2026'!$J$8:$J$185,"4",'2026'!$R$8:$R$185,"область")</f>
        <v>0</v>
      </c>
      <c r="Z61" s="29">
        <f t="shared" si="136"/>
        <v>0</v>
      </c>
      <c r="AA61" s="63"/>
      <c r="AB61" s="63"/>
      <c r="AC61" s="36"/>
      <c r="AD61" s="29">
        <f>SUMIFS('2026'!$B$8:$B$185,'2026'!$K$8:$K$185,"2029",'2026'!$J$8:$J$185,"4",'2026'!$R$8:$R$185,"район")</f>
        <v>0</v>
      </c>
      <c r="AE61" s="32">
        <f>SUMIFS('2026'!$N$8:$N$185,'2026'!$K$8:$K$185,"2029",'2026'!$J$8:$J$185,"4",'2026'!$R$8:$R$185,"район")</f>
        <v>0</v>
      </c>
      <c r="AF61" s="37">
        <f t="shared" si="138"/>
        <v>2</v>
      </c>
      <c r="AG61" s="38"/>
      <c r="AH61" s="38"/>
      <c r="AI61" s="39"/>
      <c r="AJ61" s="29">
        <f>AP61+AV61+BB61</f>
        <v>2</v>
      </c>
      <c r="AK61" s="32">
        <f t="shared" si="208"/>
        <v>12.5</v>
      </c>
      <c r="AL61" s="37">
        <f t="shared" si="140"/>
        <v>0</v>
      </c>
      <c r="AM61" s="63"/>
      <c r="AN61" s="63"/>
      <c r="AO61" s="36"/>
      <c r="AP61" s="29">
        <f>SUMIFS('2026'!$B$8:$B$185,'2026'!$K$8:$K$185,"2029",'2026'!$J$8:$J$185,"4",'2026'!$R$8:$R$185,"республика50б")</f>
        <v>0</v>
      </c>
      <c r="AQ61" s="29">
        <f>SUMIFS('2026'!$N$8:$N$185,'2026'!$K$8:$K$185,"2029",'2026'!$J$8:$J$185,"4",'2026'!$R$8:$R$185,"республика50б")</f>
        <v>0</v>
      </c>
      <c r="AR61" s="29">
        <f t="shared" si="142"/>
        <v>1</v>
      </c>
      <c r="AS61" s="63"/>
      <c r="AT61" s="63"/>
      <c r="AU61" s="36"/>
      <c r="AV61" s="29">
        <f>SUMIFS('2026'!$B$8:$B$185,'2026'!$K$8:$K$185,"2029",'2026'!$J$8:$J$185,"4",'2026'!$R$8:$R$185,"область50б")</f>
        <v>1</v>
      </c>
      <c r="AW61" s="29">
        <f>SUMIFS('2026'!$N$8:$N$185,'2026'!$K$8:$K$185,"2029",'2026'!$J$8:$J$185,"4",'2026'!$R$8:$R$185,"область50б")</f>
        <v>3</v>
      </c>
      <c r="AX61" s="29">
        <f t="shared" si="144"/>
        <v>1</v>
      </c>
      <c r="AY61" s="63"/>
      <c r="AZ61" s="63"/>
      <c r="BA61" s="36"/>
      <c r="BB61" s="29">
        <f>SUMIFS('2026'!$B$8:$B$185,'2026'!$K$8:$K$185,"2029",'2026'!$J$8:$J$185,"4",'2026'!$R$8:$R$185,"район50б")</f>
        <v>1</v>
      </c>
      <c r="BC61" s="32">
        <f>SUMIFS('2026'!$N$8:$N$185,'2026'!$K$8:$K$185,"2029",'2026'!$J$8:$J$185,"4",'2026'!$R$8:$R$185,"район50б")</f>
        <v>9.5</v>
      </c>
      <c r="BD61" s="37">
        <f t="shared" si="176"/>
        <v>0</v>
      </c>
      <c r="BE61" s="40">
        <f t="shared" si="177"/>
        <v>0</v>
      </c>
      <c r="BF61" s="40">
        <f t="shared" si="177"/>
        <v>0</v>
      </c>
      <c r="BG61" s="41"/>
      <c r="BH61" s="29">
        <f t="shared" si="190"/>
        <v>0</v>
      </c>
      <c r="BI61" s="32">
        <f t="shared" si="183"/>
        <v>0</v>
      </c>
      <c r="BJ61" s="37">
        <f t="shared" si="178"/>
        <v>0</v>
      </c>
      <c r="BK61" s="42"/>
      <c r="BL61" s="42"/>
      <c r="BM61" s="41"/>
      <c r="BN61" s="29">
        <f>BT61+BZ61+CF61</f>
        <v>0</v>
      </c>
      <c r="BO61" s="29">
        <f t="shared" si="209"/>
        <v>0</v>
      </c>
      <c r="BP61" s="29">
        <f t="shared" si="150"/>
        <v>0</v>
      </c>
      <c r="BQ61" s="63"/>
      <c r="BR61" s="63"/>
      <c r="BS61" s="36"/>
      <c r="BT61" s="29">
        <f>SUMIFS('2026'!$B$8:$B$185,'2026'!$K$8:$K$185,"2029",'2026'!$J$8:$J$185,"4",'2026'!$R$8:$R$185,"республика50м")</f>
        <v>0</v>
      </c>
      <c r="BU61" s="29">
        <f>SUMIFS('2026'!$N$8:$N$185,'2026'!$K$8:$K$185,"2029",'2026'!$J$8:$J$185,"4",'2026'!$R$8:$R$185,"республика50м")</f>
        <v>0</v>
      </c>
      <c r="BV61" s="29">
        <f t="shared" si="152"/>
        <v>0</v>
      </c>
      <c r="BW61" s="63"/>
      <c r="BX61" s="63"/>
      <c r="BY61" s="36"/>
      <c r="BZ61" s="29">
        <f>SUMIFS('2026'!$B$8:$B$185,'2026'!$K$8:$K$185,"2029",'2026'!$J$8:$J$185,"4",'2026'!$R$8:$R$185,"область50м")</f>
        <v>0</v>
      </c>
      <c r="CA61" s="29">
        <f>SUMIFS('2026'!$N$8:$N$185,'2026'!$K$8:$K$185,"2029",'2026'!$J$8:$J$185,"4",'2026'!$R$8:$R$185,"область50м")</f>
        <v>0</v>
      </c>
      <c r="CB61" s="29">
        <f t="shared" si="154"/>
        <v>0</v>
      </c>
      <c r="CC61" s="63"/>
      <c r="CD61" s="63"/>
      <c r="CE61" s="36"/>
      <c r="CF61" s="29">
        <f>SUMIFS('2026'!$B$8:$B$185,'2026'!$K$8:$K$185,"2029",'2026'!$J$8:$J$185,"4",'2026'!$R$8:$R$185,"район50м")</f>
        <v>0</v>
      </c>
      <c r="CG61" s="29">
        <f>SUMIFS('2026'!$N$8:$N$185,'2026'!$K$8:$K$185,"2029",'2026'!$J$8:$J$185,"4",'2026'!$R$8:$R$185,"район50м")</f>
        <v>0</v>
      </c>
      <c r="CH61" s="30">
        <f t="shared" si="181"/>
        <v>0</v>
      </c>
      <c r="CI61" s="63"/>
      <c r="CJ61" s="63"/>
      <c r="CK61" s="36"/>
      <c r="CL61" s="29">
        <f>SUMIFS('2026'!$B$8:$B$185,'2026'!$K$8:$K$185,"2029",'2026'!$J$8:$J$185,"4",'2026'!$R$8:$R$185,"райпо")</f>
        <v>0</v>
      </c>
      <c r="CM61" s="29">
        <f>SUMIFS('2026'!$N$8:$N$185,'2026'!$K$8:$K$185,"2029",'2026'!$J$8:$J$185,"4",'2026'!$R$8:$R$185,"райпо")</f>
        <v>0</v>
      </c>
      <c r="CN61" s="43">
        <f t="shared" si="182"/>
        <v>0</v>
      </c>
      <c r="CO61" s="63"/>
      <c r="CP61" s="63"/>
      <c r="CQ61" s="36"/>
      <c r="CR61" s="29">
        <f>SUMIFS('2026'!$B$8:$B$185,'2026'!$K$8:$K$185,"2029",'2026'!$J$8:$J$185,"4",'2026'!$R$8:$R$185,"инаяч")</f>
        <v>0</v>
      </c>
      <c r="CS61" s="32">
        <f>SUMIFS('2026'!$N$8:$N$185,'2026'!$K$8:$K$185,"2029",'2026'!$J$8:$J$185,"4",'2026'!$R$8:$R$185,"инаяч")</f>
        <v>0</v>
      </c>
      <c r="CT61" s="44">
        <f t="shared" si="160"/>
        <v>0</v>
      </c>
      <c r="CU61" s="63"/>
      <c r="CV61" s="63"/>
      <c r="CW61" s="36"/>
      <c r="CX61" s="29">
        <f>SUMIFS('2026'!$B$8:$B$185,'2026'!$K$8:$K$185,"2029",'2026'!$J$8:$J$185,"4",'2026'!$R$8:$R$185,"бесхозяйное")</f>
        <v>0</v>
      </c>
      <c r="CY61" s="32">
        <f>SUMIFS('2026'!$N$8:$N$185,'2026'!$K$8:$K$185,"2029",'2026'!$J$8:$J$185,"4",'2026'!$R$8:$R$185,"бесхозяйное")</f>
        <v>0</v>
      </c>
      <c r="DB61" s="46">
        <f t="shared" si="123"/>
        <v>2</v>
      </c>
      <c r="DC61" s="38">
        <f t="shared" si="210"/>
        <v>0</v>
      </c>
      <c r="DD61" s="38">
        <f t="shared" si="210"/>
        <v>0</v>
      </c>
      <c r="DE61" s="39">
        <f t="shared" si="211"/>
        <v>0</v>
      </c>
      <c r="DF61" s="47">
        <f t="shared" si="212"/>
        <v>2</v>
      </c>
      <c r="DG61" s="48">
        <f t="shared" si="212"/>
        <v>12.5</v>
      </c>
      <c r="DH61" s="49">
        <f>AL61+BP61</f>
        <v>0</v>
      </c>
      <c r="DI61" s="47"/>
      <c r="DJ61" s="47"/>
      <c r="DK61" s="50"/>
      <c r="DL61" s="47">
        <f t="shared" si="213"/>
        <v>0</v>
      </c>
      <c r="DM61" s="48">
        <f t="shared" si="213"/>
        <v>0</v>
      </c>
      <c r="DN61" s="49">
        <f t="shared" si="213"/>
        <v>1</v>
      </c>
      <c r="DO61" s="47"/>
      <c r="DP61" s="47"/>
      <c r="DQ61" s="50"/>
      <c r="DR61" s="47">
        <f t="shared" si="214"/>
        <v>1</v>
      </c>
      <c r="DS61" s="48">
        <f t="shared" si="214"/>
        <v>3</v>
      </c>
      <c r="DT61" s="49">
        <f t="shared" si="214"/>
        <v>1</v>
      </c>
      <c r="DU61" s="47"/>
      <c r="DV61" s="47"/>
      <c r="DW61" s="50"/>
      <c r="DX61" s="47">
        <f t="shared" si="215"/>
        <v>1</v>
      </c>
      <c r="DY61" s="48">
        <f t="shared" si="215"/>
        <v>9.5</v>
      </c>
    </row>
    <row r="62" spans="1:129" s="45" customFormat="1" ht="15.75" customHeight="1" x14ac:dyDescent="0.25">
      <c r="A62" s="28" t="s">
        <v>187</v>
      </c>
      <c r="B62" s="29">
        <f t="shared" si="127"/>
        <v>4</v>
      </c>
      <c r="C62" s="30"/>
      <c r="D62" s="30"/>
      <c r="E62" s="31"/>
      <c r="F62" s="29">
        <f t="shared" si="129"/>
        <v>4</v>
      </c>
      <c r="G62" s="32">
        <f t="shared" si="129"/>
        <v>15.200000000000001</v>
      </c>
      <c r="H62" s="33">
        <f t="shared" si="169"/>
        <v>0</v>
      </c>
      <c r="I62" s="34"/>
      <c r="J62" s="34"/>
      <c r="K62" s="35"/>
      <c r="L62" s="29">
        <f t="shared" si="171"/>
        <v>0</v>
      </c>
      <c r="M62" s="32">
        <f t="shared" si="171"/>
        <v>0</v>
      </c>
      <c r="N62" s="33">
        <f t="shared" si="172"/>
        <v>0</v>
      </c>
      <c r="O62" s="63"/>
      <c r="P62" s="63"/>
      <c r="Q62" s="36"/>
      <c r="R62" s="29">
        <f>SUMIFS('2026'!$B$8:$B$185,'2026'!$K$8:$K$185,"2029",'2026'!$J$8:$J$185,"&gt;4",'2026'!$R$8:$R$185,"республика")</f>
        <v>0</v>
      </c>
      <c r="S62" s="29">
        <f>SUMIFS('2026'!$N$8:$N$185,'2026'!$K$8:$K$185,"2029",'2026'!$J$8:$J$185,"&gt;4",'2026'!$R$8:$R$185,"республика")</f>
        <v>0</v>
      </c>
      <c r="T62" s="29">
        <f t="shared" si="173"/>
        <v>0</v>
      </c>
      <c r="U62" s="63"/>
      <c r="V62" s="63"/>
      <c r="W62" s="36"/>
      <c r="X62" s="29">
        <f>SUMIFS('2026'!$B$8:$B$185,'2026'!$K$8:$K$185,"2029",'2026'!$J$8:$J$185,"&gt;4",'2026'!$R$8:$R$185,"область")</f>
        <v>0</v>
      </c>
      <c r="Y62" s="29">
        <f>SUMIFS('2026'!$N$8:$N$185,'2026'!$K$8:$K$185,"2029",'2026'!$J$8:$J$185,"&gt;4",'2026'!$R$8:$R$185,"область")</f>
        <v>0</v>
      </c>
      <c r="Z62" s="29">
        <f t="shared" si="136"/>
        <v>0</v>
      </c>
      <c r="AA62" s="63"/>
      <c r="AB62" s="63"/>
      <c r="AC62" s="36"/>
      <c r="AD62" s="29">
        <f>SUMIFS('2026'!$B$8:$B$185,'2026'!$K$8:$K$185,"2029",'2026'!$J$8:$J$185,"&gt;4",'2026'!$R$8:$R$185,"район")</f>
        <v>0</v>
      </c>
      <c r="AE62" s="32">
        <f>SUMIFS('2026'!$N$8:$N$185,'2026'!$K$8:$K$185,"2029",'2026'!$J$8:$J$185,"&gt;4",'2026'!$R$8:$R$185,"район")</f>
        <v>0</v>
      </c>
      <c r="AF62" s="37">
        <f t="shared" si="138"/>
        <v>4</v>
      </c>
      <c r="AG62" s="38"/>
      <c r="AH62" s="38"/>
      <c r="AI62" s="39"/>
      <c r="AJ62" s="29">
        <f>AP62+AV62+BB62</f>
        <v>4</v>
      </c>
      <c r="AK62" s="32">
        <f t="shared" si="208"/>
        <v>15.200000000000001</v>
      </c>
      <c r="AL62" s="37">
        <f t="shared" si="140"/>
        <v>0</v>
      </c>
      <c r="AM62" s="63"/>
      <c r="AN62" s="63"/>
      <c r="AO62" s="36"/>
      <c r="AP62" s="29">
        <f>SUMIFS('2026'!$B$8:$B$185,'2026'!$K$8:$K$185,"2029",'2026'!$J$8:$J$185,"&gt;4",'2026'!$R$8:$R$185,"республика50б")</f>
        <v>0</v>
      </c>
      <c r="AQ62" s="29">
        <f>SUMIFS('2026'!$N$8:$N$185,'2026'!$K$8:$K$185,"2029",'2026'!$J$8:$J$185,"&gt;4",'2026'!$R$8:$R$185,"республика50б")</f>
        <v>0</v>
      </c>
      <c r="AR62" s="29">
        <f t="shared" si="142"/>
        <v>3</v>
      </c>
      <c r="AS62" s="63"/>
      <c r="AT62" s="63"/>
      <c r="AU62" s="36"/>
      <c r="AV62" s="29">
        <f>SUMIFS('2026'!$B$8:$B$185,'2026'!$K$8:$K$185,"2029",'2026'!$J$8:$J$185,"&gt;4",'2026'!$R$8:$R$185,"область50б")</f>
        <v>3</v>
      </c>
      <c r="AW62" s="29">
        <f>SUMIFS('2026'!$N$8:$N$185,'2026'!$K$8:$K$185,"2029",'2026'!$J$8:$J$185,"&gt;4",'2026'!$R$8:$R$185,"область50б")</f>
        <v>13.3</v>
      </c>
      <c r="AX62" s="29">
        <f t="shared" si="144"/>
        <v>1</v>
      </c>
      <c r="AY62" s="63"/>
      <c r="AZ62" s="63"/>
      <c r="BA62" s="36"/>
      <c r="BB62" s="29">
        <f>SUMIFS('2026'!$B$8:$B$185,'2026'!$K$8:$K$185,"2029",'2026'!$J$8:$J$185,"&gt;4",'2026'!$R$8:$R$185,"район50б")</f>
        <v>1</v>
      </c>
      <c r="BC62" s="32">
        <f>SUMIFS('2026'!$N$8:$N$185,'2026'!$K$8:$K$185,"2029",'2026'!$J$8:$J$185,"&gt;4",'2026'!$R$8:$R$185,"район50б")</f>
        <v>1.9</v>
      </c>
      <c r="BD62" s="37">
        <f t="shared" si="176"/>
        <v>0</v>
      </c>
      <c r="BE62" s="40">
        <f t="shared" si="177"/>
        <v>0</v>
      </c>
      <c r="BF62" s="40">
        <f t="shared" si="177"/>
        <v>0</v>
      </c>
      <c r="BG62" s="41"/>
      <c r="BH62" s="29">
        <f t="shared" si="190"/>
        <v>0</v>
      </c>
      <c r="BI62" s="32">
        <f t="shared" si="183"/>
        <v>0</v>
      </c>
      <c r="BJ62" s="37">
        <f t="shared" si="178"/>
        <v>0</v>
      </c>
      <c r="BK62" s="42"/>
      <c r="BL62" s="42"/>
      <c r="BM62" s="41"/>
      <c r="BN62" s="29">
        <f>BT62+BZ62+CF62</f>
        <v>0</v>
      </c>
      <c r="BO62" s="29">
        <f t="shared" si="209"/>
        <v>0</v>
      </c>
      <c r="BP62" s="29">
        <f t="shared" si="150"/>
        <v>0</v>
      </c>
      <c r="BQ62" s="63"/>
      <c r="BR62" s="63"/>
      <c r="BS62" s="36"/>
      <c r="BT62" s="29">
        <f>SUMIFS('2026'!$B$8:$B$185,'2026'!$K$8:$K$185,"2029",'2026'!$J$8:$J$185,"&gt;4",'2026'!$R$8:$R$185,"республика50м")</f>
        <v>0</v>
      </c>
      <c r="BU62" s="29">
        <f>SUMIFS('2026'!$N$8:$N$185,'2026'!$K$8:$K$185,"2029",'2026'!$J$8:$J$185,"&gt;4",'2026'!$R$8:$R$185,"республика50м")</f>
        <v>0</v>
      </c>
      <c r="BV62" s="29">
        <f t="shared" si="152"/>
        <v>0</v>
      </c>
      <c r="BW62" s="63"/>
      <c r="BX62" s="63"/>
      <c r="BY62" s="36"/>
      <c r="BZ62" s="29">
        <f>SUMIFS('2026'!$B$8:$B$185,'2026'!$K$8:$K$185,"2029",'2026'!$J$8:$J$185,"&gt;4",'2026'!$R$8:$R$185,"область50м")</f>
        <v>0</v>
      </c>
      <c r="CA62" s="29">
        <f>SUMIFS('2026'!$N$8:$N$185,'2026'!$K$8:$K$185,"2029",'2026'!$J$8:$J$185,"&gt;4",'2026'!$R$8:$R$185,"область50м")</f>
        <v>0</v>
      </c>
      <c r="CB62" s="29">
        <f t="shared" si="154"/>
        <v>0</v>
      </c>
      <c r="CC62" s="63"/>
      <c r="CD62" s="63"/>
      <c r="CE62" s="36"/>
      <c r="CF62" s="29">
        <f>SUMIFS('2026'!$B$8:$B$185,'2026'!$K$8:$K$185,"2029",'2026'!$J$8:$J$185,"&gt;4",'2026'!$R$8:$R$185,"район50м")</f>
        <v>0</v>
      </c>
      <c r="CG62" s="29">
        <f>SUMIFS('2026'!$N$8:$N$185,'2026'!$K$8:$K$185,"2029",'2026'!$J$8:$J$185,"&gt;4",'2026'!$R$8:$R$185,"район50м")</f>
        <v>0</v>
      </c>
      <c r="CH62" s="30">
        <f t="shared" si="181"/>
        <v>0</v>
      </c>
      <c r="CI62" s="63"/>
      <c r="CJ62" s="63"/>
      <c r="CK62" s="36"/>
      <c r="CL62" s="29">
        <f>SUMIFS('2026'!$B$8:$B$185,'2026'!$K$8:$K$185,"2029",'2026'!$J$8:$J$185,"&gt;4",'2026'!$R$8:$R$185,"райпо")</f>
        <v>0</v>
      </c>
      <c r="CM62" s="29">
        <f>SUMIFS('2026'!$N$8:$N$185,'2026'!$K$8:$K$185,"2029",'2026'!$J$8:$J$185,"&gt;4",'2026'!$R$8:$R$185,"райпо")</f>
        <v>0</v>
      </c>
      <c r="CN62" s="43">
        <f t="shared" si="182"/>
        <v>0</v>
      </c>
      <c r="CO62" s="63"/>
      <c r="CP62" s="63"/>
      <c r="CQ62" s="36"/>
      <c r="CR62" s="29">
        <f>SUMIFS('2026'!$B$8:$B$185,'2026'!$K$8:$K$185,"2029",'2026'!$J$8:$J$185,"&gt;4",'2026'!$R$8:$R$185,"инаяч")</f>
        <v>0</v>
      </c>
      <c r="CS62" s="32">
        <f>SUMIFS('2026'!$N$8:$N$185,'2026'!$K$8:$K$185,"2029",'2026'!$J$8:$J$185,"&gt;4",'2026'!$R$8:$R$185,"инаяч")</f>
        <v>0</v>
      </c>
      <c r="CT62" s="44">
        <f t="shared" si="160"/>
        <v>0</v>
      </c>
      <c r="CU62" s="63"/>
      <c r="CV62" s="63"/>
      <c r="CW62" s="36"/>
      <c r="CX62" s="29">
        <f>SUMIFS('2026'!$B$8:$B$185,'2026'!$K$8:$K$185,"2029",'2026'!$J$8:$J$185,"&gt;4",'2026'!$R$8:$R$185,"бесхозяйное")</f>
        <v>0</v>
      </c>
      <c r="CY62" s="32">
        <f>SUMIFS('2026'!$N$8:$N$185,'2026'!$K$8:$K$185,"2029",'2026'!$J$8:$J$185,"&gt;4",'2026'!$R$8:$R$185,"бесхозяйное")</f>
        <v>0</v>
      </c>
      <c r="DB62" s="46">
        <f t="shared" si="123"/>
        <v>4</v>
      </c>
      <c r="DC62" s="38">
        <f t="shared" si="210"/>
        <v>0</v>
      </c>
      <c r="DD62" s="38">
        <f t="shared" si="210"/>
        <v>0</v>
      </c>
      <c r="DE62" s="39">
        <f t="shared" si="211"/>
        <v>0</v>
      </c>
      <c r="DF62" s="47">
        <f t="shared" si="212"/>
        <v>4</v>
      </c>
      <c r="DG62" s="48">
        <f t="shared" si="212"/>
        <v>15.200000000000001</v>
      </c>
      <c r="DH62" s="49">
        <f>AL62+BP62</f>
        <v>0</v>
      </c>
      <c r="DI62" s="47"/>
      <c r="DJ62" s="47"/>
      <c r="DK62" s="50"/>
      <c r="DL62" s="47">
        <f t="shared" si="213"/>
        <v>0</v>
      </c>
      <c r="DM62" s="48">
        <f t="shared" si="213"/>
        <v>0</v>
      </c>
      <c r="DN62" s="49">
        <f t="shared" si="213"/>
        <v>3</v>
      </c>
      <c r="DO62" s="47"/>
      <c r="DP62" s="47"/>
      <c r="DQ62" s="50"/>
      <c r="DR62" s="47">
        <f t="shared" si="214"/>
        <v>3</v>
      </c>
      <c r="DS62" s="48">
        <f t="shared" si="214"/>
        <v>13.3</v>
      </c>
      <c r="DT62" s="49">
        <f t="shared" si="214"/>
        <v>1</v>
      </c>
      <c r="DU62" s="47"/>
      <c r="DV62" s="47"/>
      <c r="DW62" s="50"/>
      <c r="DX62" s="47">
        <f t="shared" si="215"/>
        <v>1</v>
      </c>
      <c r="DY62" s="48">
        <f t="shared" si="215"/>
        <v>1.9</v>
      </c>
    </row>
    <row r="63" spans="1:129" s="45" customFormat="1" ht="15.75" x14ac:dyDescent="0.25">
      <c r="A63" s="51" t="s">
        <v>237</v>
      </c>
      <c r="B63" s="42">
        <f t="shared" si="127"/>
        <v>13</v>
      </c>
      <c r="C63" s="30"/>
      <c r="D63" s="30"/>
      <c r="E63" s="31"/>
      <c r="F63" s="42">
        <f t="shared" si="129"/>
        <v>13</v>
      </c>
      <c r="G63" s="52">
        <f t="shared" si="129"/>
        <v>61.599999999999994</v>
      </c>
      <c r="H63" s="53">
        <f t="shared" si="169"/>
        <v>0</v>
      </c>
      <c r="I63" s="34"/>
      <c r="J63" s="34"/>
      <c r="K63" s="35"/>
      <c r="L63" s="42">
        <f t="shared" si="171"/>
        <v>0</v>
      </c>
      <c r="M63" s="52">
        <f t="shared" si="171"/>
        <v>0</v>
      </c>
      <c r="N63" s="53">
        <f t="shared" si="172"/>
        <v>0</v>
      </c>
      <c r="O63" s="54"/>
      <c r="P63" s="54"/>
      <c r="Q63" s="41"/>
      <c r="R63" s="54">
        <f>SUM(R64:R67)</f>
        <v>0</v>
      </c>
      <c r="S63" s="54">
        <f>SUM(S64:S67)</f>
        <v>0</v>
      </c>
      <c r="T63" s="42">
        <f t="shared" si="173"/>
        <v>0</v>
      </c>
      <c r="U63" s="54"/>
      <c r="V63" s="54"/>
      <c r="W63" s="41"/>
      <c r="X63" s="54">
        <f>SUM(X64:X67)</f>
        <v>0</v>
      </c>
      <c r="Y63" s="54">
        <f>SUM(Y64:Y67)</f>
        <v>0</v>
      </c>
      <c r="Z63" s="42">
        <f t="shared" si="136"/>
        <v>0</v>
      </c>
      <c r="AA63" s="54"/>
      <c r="AB63" s="54"/>
      <c r="AC63" s="41"/>
      <c r="AD63" s="54">
        <f>SUM(AD64:AD67)</f>
        <v>0</v>
      </c>
      <c r="AE63" s="55">
        <f>SUM(AE64:AE67)</f>
        <v>0</v>
      </c>
      <c r="AF63" s="56">
        <f t="shared" si="138"/>
        <v>13</v>
      </c>
      <c r="AG63" s="38"/>
      <c r="AH63" s="38"/>
      <c r="AI63" s="39"/>
      <c r="AJ63" s="42">
        <f t="shared" ref="AJ63" si="216">AP63+AV63+BB63</f>
        <v>13</v>
      </c>
      <c r="AK63" s="52">
        <f t="shared" si="208"/>
        <v>61.599999999999994</v>
      </c>
      <c r="AL63" s="56">
        <f t="shared" si="140"/>
        <v>0</v>
      </c>
      <c r="AM63" s="54"/>
      <c r="AN63" s="54"/>
      <c r="AO63" s="41"/>
      <c r="AP63" s="54">
        <f>SUM(AP64:AP67)</f>
        <v>0</v>
      </c>
      <c r="AQ63" s="54">
        <f>SUM(AQ64:AQ67)</f>
        <v>0</v>
      </c>
      <c r="AR63" s="42">
        <f t="shared" si="142"/>
        <v>6</v>
      </c>
      <c r="AS63" s="54"/>
      <c r="AT63" s="54"/>
      <c r="AU63" s="41"/>
      <c r="AV63" s="54">
        <f>SUM(AV64:AV67)</f>
        <v>6</v>
      </c>
      <c r="AW63" s="54">
        <f>SUM(AW64:AW67)</f>
        <v>21.2</v>
      </c>
      <c r="AX63" s="42">
        <f t="shared" si="144"/>
        <v>7</v>
      </c>
      <c r="AY63" s="54"/>
      <c r="AZ63" s="54"/>
      <c r="BA63" s="41"/>
      <c r="BB63" s="54">
        <f>SUM(BB64:BB67)</f>
        <v>7</v>
      </c>
      <c r="BC63" s="55">
        <f>SUM(BC64:BC67)</f>
        <v>40.4</v>
      </c>
      <c r="BD63" s="57">
        <f t="shared" si="176"/>
        <v>0</v>
      </c>
      <c r="BE63" s="58">
        <f t="shared" si="177"/>
        <v>0</v>
      </c>
      <c r="BF63" s="58">
        <f t="shared" si="177"/>
        <v>0</v>
      </c>
      <c r="BG63" s="59">
        <f t="shared" ref="BG63" si="217">IFERROR(BF63/BE63*100,0)</f>
        <v>0</v>
      </c>
      <c r="BH63" s="54">
        <f t="shared" si="190"/>
        <v>0</v>
      </c>
      <c r="BI63" s="55">
        <f t="shared" si="183"/>
        <v>0</v>
      </c>
      <c r="BJ63" s="57">
        <f t="shared" si="178"/>
        <v>0</v>
      </c>
      <c r="BK63" s="54"/>
      <c r="BL63" s="54"/>
      <c r="BM63" s="59"/>
      <c r="BN63" s="54">
        <f t="shared" ref="BN63" si="218">BT63+BZ63+CF63</f>
        <v>0</v>
      </c>
      <c r="BO63" s="54">
        <f t="shared" si="209"/>
        <v>0</v>
      </c>
      <c r="BP63" s="54">
        <f t="shared" si="150"/>
        <v>0</v>
      </c>
      <c r="BQ63" s="54"/>
      <c r="BR63" s="54"/>
      <c r="BS63" s="41"/>
      <c r="BT63" s="54">
        <f>SUM(BT64:BT67)</f>
        <v>0</v>
      </c>
      <c r="BU63" s="54">
        <f>SUM(BU64:BU67)</f>
        <v>0</v>
      </c>
      <c r="BV63" s="54">
        <f t="shared" si="152"/>
        <v>0</v>
      </c>
      <c r="BW63" s="54"/>
      <c r="BX63" s="54"/>
      <c r="BY63" s="41"/>
      <c r="BZ63" s="54">
        <f>SUM(BZ64:BZ67)</f>
        <v>0</v>
      </c>
      <c r="CA63" s="54">
        <f>SUM(CA64:CA67)</f>
        <v>0</v>
      </c>
      <c r="CB63" s="42">
        <f t="shared" si="154"/>
        <v>0</v>
      </c>
      <c r="CC63" s="54"/>
      <c r="CD63" s="54"/>
      <c r="CE63" s="41"/>
      <c r="CF63" s="54">
        <f>SUM(CF64:CF67)</f>
        <v>0</v>
      </c>
      <c r="CG63" s="54">
        <f>SUM(CG64:CG67)</f>
        <v>0</v>
      </c>
      <c r="CH63" s="30">
        <f t="shared" si="181"/>
        <v>0</v>
      </c>
      <c r="CI63" s="54"/>
      <c r="CJ63" s="54"/>
      <c r="CK63" s="41"/>
      <c r="CL63" s="54">
        <f>SUM(CL64:CL67)</f>
        <v>0</v>
      </c>
      <c r="CM63" s="54">
        <f>SUM(CM64:CM67)</f>
        <v>0</v>
      </c>
      <c r="CN63" s="43">
        <f t="shared" si="182"/>
        <v>0</v>
      </c>
      <c r="CO63" s="54"/>
      <c r="CP63" s="54"/>
      <c r="CQ63" s="41"/>
      <c r="CR63" s="54">
        <f>SUM(CR64:CR67)</f>
        <v>0</v>
      </c>
      <c r="CS63" s="55">
        <f>SUM(CS64:CS67)</f>
        <v>0</v>
      </c>
      <c r="CT63" s="44">
        <f t="shared" si="160"/>
        <v>0</v>
      </c>
      <c r="CU63" s="54"/>
      <c r="CV63" s="54"/>
      <c r="CW63" s="41"/>
      <c r="CX63" s="54">
        <f>SUM(CX64:CX67)</f>
        <v>0</v>
      </c>
      <c r="CY63" s="55">
        <f>SUM(CY64:CY67)</f>
        <v>0</v>
      </c>
      <c r="DB63" s="60">
        <f t="shared" si="123"/>
        <v>13</v>
      </c>
      <c r="DC63" s="61">
        <f>SUM(DC64:DC67)</f>
        <v>0</v>
      </c>
      <c r="DD63" s="61">
        <f>SUM(DD64:DD67)</f>
        <v>0</v>
      </c>
      <c r="DE63" s="62">
        <f>IFERROR(DD63/DC63*100,0)</f>
        <v>0</v>
      </c>
      <c r="DF63" s="63">
        <f>SUM(DF64:DF67)</f>
        <v>13</v>
      </c>
      <c r="DG63" s="64">
        <f>SUM(DG64:DG67)</f>
        <v>61.599999999999994</v>
      </c>
      <c r="DH63" s="65">
        <f>DI63+DL63</f>
        <v>0</v>
      </c>
      <c r="DI63" s="63"/>
      <c r="DJ63" s="63"/>
      <c r="DK63" s="66"/>
      <c r="DL63" s="63">
        <f>SUM(DL64:DL67)</f>
        <v>0</v>
      </c>
      <c r="DM63" s="64">
        <f>SUM(DM64:DM67)</f>
        <v>0</v>
      </c>
      <c r="DN63" s="65">
        <f>DO63+DR63</f>
        <v>6</v>
      </c>
      <c r="DO63" s="63"/>
      <c r="DP63" s="63"/>
      <c r="DQ63" s="66"/>
      <c r="DR63" s="63">
        <f>SUM(DR64:DR67)</f>
        <v>6</v>
      </c>
      <c r="DS63" s="64">
        <f>SUM(DS64:DS67)</f>
        <v>21.2</v>
      </c>
      <c r="DT63" s="65">
        <f>DU63+DX63</f>
        <v>7</v>
      </c>
      <c r="DU63" s="63"/>
      <c r="DV63" s="63"/>
      <c r="DW63" s="66"/>
      <c r="DX63" s="63">
        <f>SUM(DX64:DX67)</f>
        <v>7</v>
      </c>
      <c r="DY63" s="64">
        <f>SUM(DY64:DY67)</f>
        <v>40.4</v>
      </c>
    </row>
    <row r="64" spans="1:129" s="45" customFormat="1" ht="15.75" customHeight="1" x14ac:dyDescent="0.25">
      <c r="A64" s="28" t="s">
        <v>188</v>
      </c>
      <c r="B64" s="29">
        <f t="shared" si="127"/>
        <v>1</v>
      </c>
      <c r="C64" s="30"/>
      <c r="D64" s="30"/>
      <c r="E64" s="31"/>
      <c r="F64" s="29">
        <f t="shared" si="129"/>
        <v>1</v>
      </c>
      <c r="G64" s="32">
        <f t="shared" si="129"/>
        <v>3.5</v>
      </c>
      <c r="H64" s="33">
        <f t="shared" si="169"/>
        <v>0</v>
      </c>
      <c r="I64" s="34"/>
      <c r="J64" s="34"/>
      <c r="K64" s="35"/>
      <c r="L64" s="29">
        <f t="shared" si="171"/>
        <v>0</v>
      </c>
      <c r="M64" s="32">
        <f t="shared" si="171"/>
        <v>0</v>
      </c>
      <c r="N64" s="33">
        <f t="shared" si="172"/>
        <v>0</v>
      </c>
      <c r="O64" s="63"/>
      <c r="P64" s="63"/>
      <c r="Q64" s="68"/>
      <c r="R64" s="29">
        <f>SUMIFS('2026'!$B$8:$B$185,'2026'!$K$8:$K$185,"&gt;2029",'2026'!$J$8:$J$185,"&lt;3",'2026'!$R$8:$R$185,"республика")</f>
        <v>0</v>
      </c>
      <c r="S64" s="29">
        <f>SUMIFS('2026'!$N$8:$N$185,'2026'!$K$8:$K$185,"&gt;2029",'2026'!$J$8:$J$185,"&lt;3",'2026'!$R$8:$R$185,"республика")</f>
        <v>0</v>
      </c>
      <c r="T64" s="29">
        <f t="shared" si="173"/>
        <v>0</v>
      </c>
      <c r="U64" s="63"/>
      <c r="V64" s="63"/>
      <c r="W64" s="68"/>
      <c r="X64" s="29">
        <f>SUMIFS('2026'!$B$8:$B$185,'2026'!$K$8:$K$185,"&gt;2029",'2026'!$J$8:$J$185,"&lt;3",'2026'!$R$8:$R$185,"область")</f>
        <v>0</v>
      </c>
      <c r="Y64" s="29">
        <f>SUMIFS('2026'!$N$8:$N$185,'2026'!$K$8:$K$185,"&gt;2029",'2026'!$J$8:$J$185,"&lt;3",'2026'!$R$8:$R$185,"область")</f>
        <v>0</v>
      </c>
      <c r="Z64" s="29">
        <f t="shared" si="136"/>
        <v>0</v>
      </c>
      <c r="AA64" s="63"/>
      <c r="AB64" s="63"/>
      <c r="AC64" s="68"/>
      <c r="AD64" s="29">
        <f>SUMIFS('2026'!$B$8:$B$185,'2026'!$K$8:$K$185,"&gt;2029",'2026'!$J$8:$J$185,"&lt;3",'2026'!$R$8:$R$185,"район")</f>
        <v>0</v>
      </c>
      <c r="AE64" s="32">
        <f>SUMIFS('2026'!$N$8:$N$185,'2026'!$K$8:$K$185,"&gt;2029",'2026'!$J$8:$J$185,"&lt;3",'2026'!$R$8:$R$185,"район")</f>
        <v>0</v>
      </c>
      <c r="AF64" s="37">
        <f t="shared" si="138"/>
        <v>1</v>
      </c>
      <c r="AG64" s="38"/>
      <c r="AH64" s="38"/>
      <c r="AI64" s="39"/>
      <c r="AJ64" s="29">
        <f>AP64+AV64+BB64</f>
        <v>1</v>
      </c>
      <c r="AK64" s="32">
        <f t="shared" si="208"/>
        <v>3.5</v>
      </c>
      <c r="AL64" s="37">
        <f t="shared" si="140"/>
        <v>0</v>
      </c>
      <c r="AM64" s="63"/>
      <c r="AN64" s="63"/>
      <c r="AO64" s="68"/>
      <c r="AP64" s="29">
        <f>SUMIFS('2026'!$B$8:$B$185,'2026'!$K$8:$K$185,"&gt;2029",'2026'!$J$8:$J$185,"&lt;3",'2026'!$R$8:$R$185,"республика50б")</f>
        <v>0</v>
      </c>
      <c r="AQ64" s="29">
        <f>SUMIFS('2026'!$N$8:$N$185,'2026'!$K$8:$K$185,"&gt;2029",'2026'!$J$8:$J$185,"&lt;3",'2026'!$R$8:$R$185,"республика50б")</f>
        <v>0</v>
      </c>
      <c r="AR64" s="29">
        <f t="shared" si="142"/>
        <v>0</v>
      </c>
      <c r="AS64" s="63"/>
      <c r="AT64" s="63"/>
      <c r="AU64" s="68"/>
      <c r="AV64" s="29">
        <f>SUMIFS('2026'!$B$8:$B$185,'2026'!$K$8:$K$185,"&gt;2029",'2026'!$J$8:$J$185,"&lt;3",'2026'!$R$8:$R$185,"область50б")</f>
        <v>0</v>
      </c>
      <c r="AW64" s="29">
        <f>SUMIFS('2026'!$N$8:$N$185,'2026'!$K$8:$K$185,"&gt;2029",'2026'!$J$8:$J$185,"&lt;3",'2026'!$R$8:$R$185,"область50б")</f>
        <v>0</v>
      </c>
      <c r="AX64" s="29">
        <f t="shared" si="144"/>
        <v>1</v>
      </c>
      <c r="AY64" s="63"/>
      <c r="AZ64" s="63"/>
      <c r="BA64" s="68"/>
      <c r="BB64" s="29">
        <f>SUMIFS('2026'!$B$8:$B$185,'2026'!$K$8:$K$185,"&gt;2029",'2026'!$J$8:$J$185,"&lt;3",'2026'!$R$8:$R$185,"район50б")</f>
        <v>1</v>
      </c>
      <c r="BC64" s="32">
        <f>SUMIFS('2026'!$N$8:$N$185,'2026'!$K$8:$K$185,"&gt;2029",'2026'!$J$8:$J$185,"&lt;3",'2026'!$R$8:$R$185,"район50б")</f>
        <v>3.5</v>
      </c>
      <c r="BD64" s="37">
        <f t="shared" si="176"/>
        <v>0</v>
      </c>
      <c r="BE64" s="40">
        <f t="shared" si="177"/>
        <v>0</v>
      </c>
      <c r="BF64" s="40">
        <f t="shared" si="177"/>
        <v>0</v>
      </c>
      <c r="BG64" s="41"/>
      <c r="BH64" s="29">
        <f t="shared" si="190"/>
        <v>0</v>
      </c>
      <c r="BI64" s="32">
        <f t="shared" si="183"/>
        <v>0</v>
      </c>
      <c r="BJ64" s="37">
        <f t="shared" si="178"/>
        <v>0</v>
      </c>
      <c r="BK64" s="42"/>
      <c r="BL64" s="42"/>
      <c r="BM64" s="41"/>
      <c r="BN64" s="29">
        <f>BT64+BZ64+CF64</f>
        <v>0</v>
      </c>
      <c r="BO64" s="29">
        <f t="shared" si="209"/>
        <v>0</v>
      </c>
      <c r="BP64" s="29">
        <f t="shared" si="150"/>
        <v>0</v>
      </c>
      <c r="BQ64" s="63"/>
      <c r="BR64" s="63"/>
      <c r="BS64" s="68"/>
      <c r="BT64" s="29">
        <f>SUMIFS('2026'!$B$8:$B$185,'2026'!$K$8:$K$185,"&gt;2029",'2026'!$J$8:$J$185,"&lt;3",'2026'!$R$8:$R$185,"республика50м")</f>
        <v>0</v>
      </c>
      <c r="BU64" s="29">
        <f>SUMIFS('2026'!$N$8:$N$185,'2026'!$K$8:$K$185,"&gt;2029",'2026'!$J$8:$J$185,"&lt;3",'2026'!$R$8:$R$185,"республика50м")</f>
        <v>0</v>
      </c>
      <c r="BV64" s="29">
        <f t="shared" si="152"/>
        <v>0</v>
      </c>
      <c r="BW64" s="63"/>
      <c r="BX64" s="63"/>
      <c r="BY64" s="68"/>
      <c r="BZ64" s="29">
        <f>SUMIFS('2026'!$B$8:$B$185,'2026'!$K$8:$K$185,"&gt;2029",'2026'!$J$8:$J$185,"&lt;3",'2026'!$R$8:$R$185,"область50м")</f>
        <v>0</v>
      </c>
      <c r="CA64" s="29">
        <f>SUMIFS('2026'!$N$8:$N$185,'2026'!$K$8:$K$185,"&gt;2029",'2026'!$J$8:$J$185,"&lt;3",'2026'!$R$8:$R$185,"область50м")</f>
        <v>0</v>
      </c>
      <c r="CB64" s="29">
        <f t="shared" si="154"/>
        <v>0</v>
      </c>
      <c r="CC64" s="63"/>
      <c r="CD64" s="63"/>
      <c r="CE64" s="68"/>
      <c r="CF64" s="29">
        <f>SUMIFS('2026'!$B$8:$B$185,'2026'!$K$8:$K$185,"&gt;2029",'2026'!$J$8:$J$185,"&lt;3",'2026'!$R$8:$R$185,"район50м")</f>
        <v>0</v>
      </c>
      <c r="CG64" s="29">
        <f>SUMIFS('2026'!$N$8:$N$185,'2026'!$K$8:$K$185,"&gt;2029",'2026'!$J$8:$J$185,"&lt;3",'2026'!$R$8:$R$185,"район50м")</f>
        <v>0</v>
      </c>
      <c r="CH64" s="30">
        <f t="shared" si="181"/>
        <v>0</v>
      </c>
      <c r="CI64" s="63"/>
      <c r="CJ64" s="63"/>
      <c r="CK64" s="68"/>
      <c r="CL64" s="29">
        <f>SUMIFS('2026'!$B$8:$B$185,'2026'!$K$8:$K$185,"&gt;2029",'2026'!$J$8:$J$185,"&lt;3",'2026'!$R$8:$R$185,"райпо")</f>
        <v>0</v>
      </c>
      <c r="CM64" s="29">
        <f>SUMIFS('2026'!$N$8:$N$185,'2026'!$K$8:$K$185,"&gt;2029",'2026'!$J$8:$J$185,"&lt;3",'2026'!$R$8:$R$185,"райпо")</f>
        <v>0</v>
      </c>
      <c r="CN64" s="43">
        <f t="shared" si="182"/>
        <v>0</v>
      </c>
      <c r="CO64" s="63"/>
      <c r="CP64" s="63"/>
      <c r="CQ64" s="68"/>
      <c r="CR64" s="29">
        <f>SUMIFS('2026'!$B$8:$B$185,'2026'!$K$8:$K$185,"&gt;2029",'2026'!$J$8:$J$185,"&lt;3",'2026'!$R$8:$R$185,"инаяч")</f>
        <v>0</v>
      </c>
      <c r="CS64" s="32">
        <f>SUMIFS('2026'!$N$8:$N$185,'2026'!$K$8:$K$185,"&gt;2029",'2026'!$J$8:$J$185,"&lt;3",'2026'!$R$8:$R$185,"инаяч")</f>
        <v>0</v>
      </c>
      <c r="CT64" s="44">
        <f t="shared" si="160"/>
        <v>0</v>
      </c>
      <c r="CU64" s="63"/>
      <c r="CV64" s="63"/>
      <c r="CW64" s="68"/>
      <c r="CX64" s="29">
        <f>SUMIFS('2026'!$B$8:$B$185,'2026'!$K$8:$K$185,"&gt;2029",'2026'!$J$8:$J$185,"&lt;3",'2026'!$R$8:$R$185,"бесхозяйное")</f>
        <v>0</v>
      </c>
      <c r="CY64" s="32">
        <f>SUMIFS('2026'!$N$8:$N$185,'2026'!$K$8:$K$185,"&gt;2029",'2026'!$J$8:$J$185,"&lt;3",'2026'!$R$8:$R$185,"бесхозяйное")</f>
        <v>0</v>
      </c>
      <c r="DB64" s="46">
        <f t="shared" si="123"/>
        <v>1</v>
      </c>
      <c r="DC64" s="38">
        <f t="shared" ref="DC64:DD67" si="219">DI64+DO64+DU64</f>
        <v>0</v>
      </c>
      <c r="DD64" s="38">
        <f t="shared" si="219"/>
        <v>0</v>
      </c>
      <c r="DE64" s="39">
        <f t="shared" ref="DE64:DE67" si="220">IFERROR(DD64/DC64*100,0)</f>
        <v>0</v>
      </c>
      <c r="DF64" s="47">
        <f t="shared" ref="DF64:DG67" si="221">DL64+DR64+DX64</f>
        <v>1</v>
      </c>
      <c r="DG64" s="48">
        <f t="shared" si="221"/>
        <v>3.5</v>
      </c>
      <c r="DH64" s="49">
        <f>AL64+BP64</f>
        <v>0</v>
      </c>
      <c r="DI64" s="47"/>
      <c r="DJ64" s="47"/>
      <c r="DK64" s="50"/>
      <c r="DL64" s="47">
        <f t="shared" ref="DL64:DN67" si="222">AP64+BT64</f>
        <v>0</v>
      </c>
      <c r="DM64" s="48">
        <f t="shared" si="222"/>
        <v>0</v>
      </c>
      <c r="DN64" s="49">
        <f t="shared" si="222"/>
        <v>0</v>
      </c>
      <c r="DO64" s="47"/>
      <c r="DP64" s="47"/>
      <c r="DQ64" s="50"/>
      <c r="DR64" s="47">
        <f t="shared" ref="DR64:DT67" si="223">AV64+BZ64</f>
        <v>0</v>
      </c>
      <c r="DS64" s="48">
        <f t="shared" si="223"/>
        <v>0</v>
      </c>
      <c r="DT64" s="49">
        <f t="shared" si="223"/>
        <v>1</v>
      </c>
      <c r="DU64" s="47"/>
      <c r="DV64" s="47"/>
      <c r="DW64" s="50"/>
      <c r="DX64" s="47">
        <f t="shared" ref="DX64:DY67" si="224">BB64+CF64</f>
        <v>1</v>
      </c>
      <c r="DY64" s="48">
        <f t="shared" si="224"/>
        <v>3.5</v>
      </c>
    </row>
    <row r="65" spans="1:129" s="45" customFormat="1" ht="15.75" customHeight="1" x14ac:dyDescent="0.25">
      <c r="A65" s="28" t="s">
        <v>189</v>
      </c>
      <c r="B65" s="29">
        <f t="shared" si="127"/>
        <v>2</v>
      </c>
      <c r="C65" s="30"/>
      <c r="D65" s="30"/>
      <c r="E65" s="31"/>
      <c r="F65" s="29">
        <f t="shared" si="129"/>
        <v>2</v>
      </c>
      <c r="G65" s="32">
        <f t="shared" si="129"/>
        <v>5.7</v>
      </c>
      <c r="H65" s="33">
        <f t="shared" si="169"/>
        <v>0</v>
      </c>
      <c r="I65" s="34"/>
      <c r="J65" s="34"/>
      <c r="K65" s="35"/>
      <c r="L65" s="29">
        <f t="shared" si="171"/>
        <v>0</v>
      </c>
      <c r="M65" s="32">
        <f t="shared" si="171"/>
        <v>0</v>
      </c>
      <c r="N65" s="33">
        <f t="shared" si="172"/>
        <v>0</v>
      </c>
      <c r="O65" s="63"/>
      <c r="P65" s="63"/>
      <c r="Q65" s="68"/>
      <c r="R65" s="29">
        <f>SUMIFS('2026'!$B$8:$B$185,'2026'!$K$8:$K$185,"&gt;2029",'2026'!$J$8:$J$185,"3",'2026'!$R$8:$R$185,"республика")</f>
        <v>0</v>
      </c>
      <c r="S65" s="29">
        <f>SUMIFS('2026'!$N$8:$N$185,'2026'!$K$8:$K$185,"&gt;2029",'2026'!$J$8:$J$185,"3",'2026'!$R$8:$R$185,"республика")</f>
        <v>0</v>
      </c>
      <c r="T65" s="29">
        <f t="shared" si="173"/>
        <v>0</v>
      </c>
      <c r="U65" s="63"/>
      <c r="V65" s="63"/>
      <c r="W65" s="68"/>
      <c r="X65" s="29">
        <f>SUMIFS('2026'!$B$8:$B$185,'2026'!$K$8:$K$185,"&gt;2029",'2026'!$J$8:$J$185,"3",'2026'!$R$8:$R$185,"область")</f>
        <v>0</v>
      </c>
      <c r="Y65" s="29">
        <f>SUMIFS('2026'!$N$8:$N$185,'2026'!$K$8:$K$185,"&gt;2029",'2026'!$J$8:$J$185,"3",'2026'!$R$8:$R$185,"область")</f>
        <v>0</v>
      </c>
      <c r="Z65" s="29">
        <f t="shared" si="136"/>
        <v>0</v>
      </c>
      <c r="AA65" s="63"/>
      <c r="AB65" s="63"/>
      <c r="AC65" s="68"/>
      <c r="AD65" s="29">
        <f>SUMIFS('2026'!$B$8:$B$185,'2026'!$K$8:$K$185,"&gt;2029",'2026'!$J$8:$J$185,"3",'2026'!$R$8:$R$185,"район")</f>
        <v>0</v>
      </c>
      <c r="AE65" s="32">
        <f>SUMIFS('2026'!$N$8:$N$185,'2026'!$K$8:$K$185,"&gt;2029",'2026'!$J$8:$J$185,"3",'2026'!$R$8:$R$185,"район")</f>
        <v>0</v>
      </c>
      <c r="AF65" s="37">
        <f t="shared" si="138"/>
        <v>2</v>
      </c>
      <c r="AG65" s="38"/>
      <c r="AH65" s="38"/>
      <c r="AI65" s="39"/>
      <c r="AJ65" s="29">
        <f>AP65+AV65+BB65</f>
        <v>2</v>
      </c>
      <c r="AK65" s="32">
        <f t="shared" si="208"/>
        <v>5.7</v>
      </c>
      <c r="AL65" s="37">
        <f t="shared" si="140"/>
        <v>0</v>
      </c>
      <c r="AM65" s="63"/>
      <c r="AN65" s="63"/>
      <c r="AO65" s="68"/>
      <c r="AP65" s="29">
        <f>SUMIFS('2026'!$B$8:$B$185,'2026'!$K$8:$K$185,"&gt;2029",'2026'!$J$8:$J$185,"3",'2026'!$R$8:$R$185,"республика50б")</f>
        <v>0</v>
      </c>
      <c r="AQ65" s="29">
        <f>SUMIFS('2026'!$N$8:$N$185,'2026'!$K$8:$K$185,"&gt;2029",'2026'!$J$8:$J$185,"3",'2026'!$R$8:$R$185,"республика50б")</f>
        <v>0</v>
      </c>
      <c r="AR65" s="29">
        <f t="shared" si="142"/>
        <v>0</v>
      </c>
      <c r="AS65" s="63"/>
      <c r="AT65" s="63"/>
      <c r="AU65" s="68"/>
      <c r="AV65" s="29">
        <f>SUMIFS('2026'!$B$8:$B$185,'2026'!$K$8:$K$185,"&gt;2029",'2026'!$J$8:$J$185,"3",'2026'!$R$8:$R$185,"область50б")</f>
        <v>0</v>
      </c>
      <c r="AW65" s="29">
        <f>SUMIFS('2026'!$N$8:$N$185,'2026'!$K$8:$K$185,"&gt;2029",'2026'!$J$8:$J$185,"3",'2026'!$R$8:$R$185,"область50б")</f>
        <v>0</v>
      </c>
      <c r="AX65" s="29">
        <f t="shared" si="144"/>
        <v>2</v>
      </c>
      <c r="AY65" s="63"/>
      <c r="AZ65" s="63"/>
      <c r="BA65" s="68"/>
      <c r="BB65" s="29">
        <f>SUMIFS('2026'!$B$8:$B$185,'2026'!$K$8:$K$185,"&gt;2029",'2026'!$J$8:$J$185,"3",'2026'!$R$8:$R$185,"район50б")</f>
        <v>2</v>
      </c>
      <c r="BC65" s="32">
        <f>SUMIFS('2026'!$N$8:$N$185,'2026'!$K$8:$K$185,"&gt;2029",'2026'!$J$8:$J$185,"3",'2026'!$R$8:$R$185,"район50б")</f>
        <v>5.7</v>
      </c>
      <c r="BD65" s="37">
        <f t="shared" si="176"/>
        <v>0</v>
      </c>
      <c r="BE65" s="40">
        <f t="shared" si="177"/>
        <v>0</v>
      </c>
      <c r="BF65" s="40">
        <f t="shared" si="177"/>
        <v>0</v>
      </c>
      <c r="BG65" s="41"/>
      <c r="BH65" s="29">
        <f t="shared" si="190"/>
        <v>0</v>
      </c>
      <c r="BI65" s="32">
        <f t="shared" si="183"/>
        <v>0</v>
      </c>
      <c r="BJ65" s="37">
        <f t="shared" si="178"/>
        <v>0</v>
      </c>
      <c r="BK65" s="42"/>
      <c r="BL65" s="42"/>
      <c r="BM65" s="41"/>
      <c r="BN65" s="29">
        <f>BT65+BZ65+CF65</f>
        <v>0</v>
      </c>
      <c r="BO65" s="29">
        <f t="shared" si="209"/>
        <v>0</v>
      </c>
      <c r="BP65" s="29">
        <f t="shared" si="150"/>
        <v>0</v>
      </c>
      <c r="BQ65" s="63"/>
      <c r="BR65" s="63"/>
      <c r="BS65" s="68"/>
      <c r="BT65" s="29">
        <f>SUMIFS('2026'!$B$8:$B$185,'2026'!$K$8:$K$185,"&gt;2029",'2026'!$J$8:$J$185,"3",'2026'!$R$8:$R$185,"республика50м")</f>
        <v>0</v>
      </c>
      <c r="BU65" s="29">
        <f>SUMIFS('2026'!$N$8:$N$185,'2026'!$K$8:$K$185,"&gt;2029",'2026'!$J$8:$J$185,"3",'2026'!$R$8:$R$185,"республика50м")</f>
        <v>0</v>
      </c>
      <c r="BV65" s="29">
        <f t="shared" si="152"/>
        <v>0</v>
      </c>
      <c r="BW65" s="63"/>
      <c r="BX65" s="63"/>
      <c r="BY65" s="68"/>
      <c r="BZ65" s="29">
        <f>SUMIFS('2026'!$B$8:$B$185,'2026'!$K$8:$K$185,"&gt;2029",'2026'!$J$8:$J$185,"3",'2026'!$R$8:$R$185,"область50м")</f>
        <v>0</v>
      </c>
      <c r="CA65" s="29">
        <f>SUMIFS('2026'!$N$8:$N$185,'2026'!$K$8:$K$185,"&gt;2029",'2026'!$J$8:$J$185,"3",'2026'!$R$8:$R$185,"область50м")</f>
        <v>0</v>
      </c>
      <c r="CB65" s="29">
        <f t="shared" si="154"/>
        <v>0</v>
      </c>
      <c r="CC65" s="63"/>
      <c r="CD65" s="63"/>
      <c r="CE65" s="68"/>
      <c r="CF65" s="29">
        <f>SUMIFS('2026'!$B$8:$B$185,'2026'!$K$8:$K$185,"&gt;2029",'2026'!$J$8:$J$185,"3",'2026'!$R$8:$R$185,"район50м")</f>
        <v>0</v>
      </c>
      <c r="CG65" s="29">
        <f>SUMIFS('2026'!$N$8:$N$185,'2026'!$K$8:$K$185,"&gt;2029",'2026'!$J$8:$J$185,"3",'2026'!$R$8:$R$185,"район50м")</f>
        <v>0</v>
      </c>
      <c r="CH65" s="30">
        <f t="shared" si="181"/>
        <v>0</v>
      </c>
      <c r="CI65" s="63"/>
      <c r="CJ65" s="63"/>
      <c r="CK65" s="68"/>
      <c r="CL65" s="29">
        <f>SUMIFS('2026'!$B$8:$B$185,'2026'!$K$8:$K$185,"&gt;2029",'2026'!$J$8:$J$185,"3",'2026'!$R$8:$R$185,"райпо")</f>
        <v>0</v>
      </c>
      <c r="CM65" s="29">
        <f>SUMIFS('2026'!$N$8:$N$185,'2026'!$K$8:$K$185,"&gt;2029",'2026'!$J$8:$J$185,"3",'2026'!$R$8:$R$185,"райпо")</f>
        <v>0</v>
      </c>
      <c r="CN65" s="43">
        <f t="shared" si="182"/>
        <v>0</v>
      </c>
      <c r="CO65" s="63"/>
      <c r="CP65" s="63"/>
      <c r="CQ65" s="68"/>
      <c r="CR65" s="29">
        <f>SUMIFS('2026'!$B$8:$B$185,'2026'!$K$8:$K$185,"&gt;2029",'2026'!$J$8:$J$185,"3",'2026'!$R$8:$R$185,"инаяч")</f>
        <v>0</v>
      </c>
      <c r="CS65" s="32">
        <f>SUMIFS('2026'!$N$8:$N$185,'2026'!$K$8:$K$185,"&gt;2029",'2026'!$J$8:$J$185,"3",'2026'!$R$8:$R$185,"инаяч")</f>
        <v>0</v>
      </c>
      <c r="CT65" s="44">
        <f t="shared" si="160"/>
        <v>0</v>
      </c>
      <c r="CU65" s="63"/>
      <c r="CV65" s="63"/>
      <c r="CW65" s="68"/>
      <c r="CX65" s="29">
        <f>SUMIFS('2026'!$B$8:$B$185,'2026'!$K$8:$K$185,"&gt;2029",'2026'!$J$8:$J$185,"3",'2026'!$R$8:$R$185,"бесхозяйное")</f>
        <v>0</v>
      </c>
      <c r="CY65" s="32">
        <f>SUMIFS('2026'!$N$8:$N$185,'2026'!$K$8:$K$185,"&gt;2029",'2026'!$J$8:$J$185,"3",'2026'!$R$8:$R$185,"бесхозяйное")</f>
        <v>0</v>
      </c>
      <c r="DB65" s="46">
        <f t="shared" si="123"/>
        <v>2</v>
      </c>
      <c r="DC65" s="38">
        <f t="shared" si="219"/>
        <v>0</v>
      </c>
      <c r="DD65" s="38">
        <f t="shared" si="219"/>
        <v>0</v>
      </c>
      <c r="DE65" s="39">
        <f t="shared" si="220"/>
        <v>0</v>
      </c>
      <c r="DF65" s="47">
        <f t="shared" si="221"/>
        <v>2</v>
      </c>
      <c r="DG65" s="48">
        <f t="shared" si="221"/>
        <v>5.7</v>
      </c>
      <c r="DH65" s="49">
        <f>AL65+BP65</f>
        <v>0</v>
      </c>
      <c r="DI65" s="47"/>
      <c r="DJ65" s="47"/>
      <c r="DK65" s="50"/>
      <c r="DL65" s="47">
        <f t="shared" si="222"/>
        <v>0</v>
      </c>
      <c r="DM65" s="48">
        <f t="shared" si="222"/>
        <v>0</v>
      </c>
      <c r="DN65" s="49">
        <f t="shared" si="222"/>
        <v>0</v>
      </c>
      <c r="DO65" s="47"/>
      <c r="DP65" s="47"/>
      <c r="DQ65" s="50"/>
      <c r="DR65" s="47">
        <f t="shared" si="223"/>
        <v>0</v>
      </c>
      <c r="DS65" s="48">
        <f t="shared" si="223"/>
        <v>0</v>
      </c>
      <c r="DT65" s="49">
        <f t="shared" si="223"/>
        <v>2</v>
      </c>
      <c r="DU65" s="47"/>
      <c r="DV65" s="47"/>
      <c r="DW65" s="50"/>
      <c r="DX65" s="47">
        <f t="shared" si="224"/>
        <v>2</v>
      </c>
      <c r="DY65" s="48">
        <f t="shared" si="224"/>
        <v>5.7</v>
      </c>
    </row>
    <row r="66" spans="1:129" s="45" customFormat="1" ht="15.75" customHeight="1" x14ac:dyDescent="0.25">
      <c r="A66" s="28" t="s">
        <v>190</v>
      </c>
      <c r="B66" s="29">
        <f t="shared" si="127"/>
        <v>4</v>
      </c>
      <c r="C66" s="30"/>
      <c r="D66" s="30"/>
      <c r="E66" s="31"/>
      <c r="F66" s="29">
        <f t="shared" si="129"/>
        <v>4</v>
      </c>
      <c r="G66" s="32">
        <f t="shared" si="129"/>
        <v>26.7</v>
      </c>
      <c r="H66" s="33">
        <f t="shared" si="169"/>
        <v>0</v>
      </c>
      <c r="I66" s="34"/>
      <c r="J66" s="34"/>
      <c r="K66" s="35"/>
      <c r="L66" s="29">
        <f t="shared" si="171"/>
        <v>0</v>
      </c>
      <c r="M66" s="32">
        <f t="shared" si="171"/>
        <v>0</v>
      </c>
      <c r="N66" s="33">
        <f t="shared" si="172"/>
        <v>0</v>
      </c>
      <c r="O66" s="63"/>
      <c r="P66" s="63"/>
      <c r="Q66" s="68"/>
      <c r="R66" s="29">
        <f>SUMIFS('2026'!$B$8:$B$185,'2026'!$K$8:$K$185,"&gt;2029",'2026'!$J$8:$J$185,"4",'2026'!$R$8:$R$185,"республика")</f>
        <v>0</v>
      </c>
      <c r="S66" s="29">
        <f>SUMIFS('2026'!$N$8:$N$185,'2026'!$K$8:$K$185,"&gt;2029",'2026'!$J$8:$J$185,"4",'2026'!$R$8:$R$185,"республика")</f>
        <v>0</v>
      </c>
      <c r="T66" s="29">
        <f t="shared" si="173"/>
        <v>0</v>
      </c>
      <c r="U66" s="63"/>
      <c r="V66" s="63"/>
      <c r="W66" s="68"/>
      <c r="X66" s="29">
        <f>SUMIFS('2026'!$B$8:$B$185,'2026'!$K$8:$K$185,"&gt;2029",'2026'!$J$8:$J$185,"4",'2026'!$R$8:$R$185,"область")</f>
        <v>0</v>
      </c>
      <c r="Y66" s="29">
        <f>SUMIFS('2026'!$N$8:$N$185,'2026'!$K$8:$K$185,"&gt;2029",'2026'!$J$8:$J$185,"4",'2026'!$R$8:$R$185,"область")</f>
        <v>0</v>
      </c>
      <c r="Z66" s="29">
        <f t="shared" si="136"/>
        <v>0</v>
      </c>
      <c r="AA66" s="63"/>
      <c r="AB66" s="63"/>
      <c r="AC66" s="68"/>
      <c r="AD66" s="29">
        <f>SUMIFS('2026'!$B$8:$B$185,'2026'!$K$8:$K$185,"&gt;2029",'2026'!$J$8:$J$185,"4",'2026'!$R$8:$R$185,"район")</f>
        <v>0</v>
      </c>
      <c r="AE66" s="32">
        <f>SUMIFS('2026'!$N$8:$N$185,'2026'!$K$8:$K$185,"&gt;2029",'2026'!$J$8:$J$185,"4",'2026'!$R$8:$R$185,"район")</f>
        <v>0</v>
      </c>
      <c r="AF66" s="37">
        <f t="shared" si="138"/>
        <v>4</v>
      </c>
      <c r="AG66" s="38"/>
      <c r="AH66" s="38"/>
      <c r="AI66" s="39"/>
      <c r="AJ66" s="29">
        <f>AP66+AV66+BB66</f>
        <v>4</v>
      </c>
      <c r="AK66" s="32">
        <f t="shared" si="208"/>
        <v>26.7</v>
      </c>
      <c r="AL66" s="37">
        <f t="shared" si="140"/>
        <v>0</v>
      </c>
      <c r="AM66" s="63"/>
      <c r="AN66" s="63"/>
      <c r="AO66" s="68"/>
      <c r="AP66" s="29">
        <f>SUMIFS('2026'!$B$8:$B$185,'2026'!$K$8:$K$185,"&gt;2029",'2026'!$J$8:$J$185,"4",'2026'!$R$8:$R$185,"республика50б")</f>
        <v>0</v>
      </c>
      <c r="AQ66" s="29">
        <f>SUMIFS('2026'!$N$8:$N$185,'2026'!$K$8:$K$185,"&gt;2029",'2026'!$J$8:$J$185,"4",'2026'!$R$8:$R$185,"республика50б")</f>
        <v>0</v>
      </c>
      <c r="AR66" s="29">
        <f t="shared" si="142"/>
        <v>1</v>
      </c>
      <c r="AS66" s="63"/>
      <c r="AT66" s="63"/>
      <c r="AU66" s="68"/>
      <c r="AV66" s="29">
        <f>SUMIFS('2026'!$B$8:$B$185,'2026'!$K$8:$K$185,"&gt;2029",'2026'!$J$8:$J$185,"4",'2026'!$R$8:$R$185,"область50б")</f>
        <v>1</v>
      </c>
      <c r="AW66" s="29">
        <f>SUMIFS('2026'!$N$8:$N$185,'2026'!$K$8:$K$185,"&gt;2029",'2026'!$J$8:$J$185,"4",'2026'!$R$8:$R$185,"область50б")</f>
        <v>5.5</v>
      </c>
      <c r="AX66" s="29">
        <f t="shared" si="144"/>
        <v>3</v>
      </c>
      <c r="AY66" s="63"/>
      <c r="AZ66" s="63"/>
      <c r="BA66" s="68"/>
      <c r="BB66" s="29">
        <f>SUMIFS('2026'!$B$8:$B$185,'2026'!$K$8:$K$185,"&gt;2029",'2026'!$J$8:$J$185,"4",'2026'!$R$8:$R$185,"район50б")</f>
        <v>3</v>
      </c>
      <c r="BC66" s="32">
        <f>SUMIFS('2026'!$N$8:$N$185,'2026'!$K$8:$K$185,"&gt;2029",'2026'!$J$8:$J$185,"4",'2026'!$R$8:$R$185,"район50б")</f>
        <v>21.2</v>
      </c>
      <c r="BD66" s="37">
        <f t="shared" si="176"/>
        <v>0</v>
      </c>
      <c r="BE66" s="40">
        <f t="shared" si="177"/>
        <v>0</v>
      </c>
      <c r="BF66" s="40">
        <f t="shared" si="177"/>
        <v>0</v>
      </c>
      <c r="BG66" s="41"/>
      <c r="BH66" s="29">
        <f t="shared" si="190"/>
        <v>0</v>
      </c>
      <c r="BI66" s="32">
        <f t="shared" si="183"/>
        <v>0</v>
      </c>
      <c r="BJ66" s="37">
        <f t="shared" si="178"/>
        <v>0</v>
      </c>
      <c r="BK66" s="42"/>
      <c r="BL66" s="42"/>
      <c r="BM66" s="41"/>
      <c r="BN66" s="29">
        <f>BT66+BZ66+CF66</f>
        <v>0</v>
      </c>
      <c r="BO66" s="29">
        <f t="shared" si="209"/>
        <v>0</v>
      </c>
      <c r="BP66" s="29">
        <f t="shared" si="150"/>
        <v>0</v>
      </c>
      <c r="BQ66" s="63"/>
      <c r="BR66" s="63"/>
      <c r="BS66" s="68"/>
      <c r="BT66" s="29">
        <f>SUMIFS('2026'!$B$8:$B$185,'2026'!$K$8:$K$185,"&gt;2029",'2026'!$J$8:$J$185,"4",'2026'!$R$8:$R$185,"республика50м")</f>
        <v>0</v>
      </c>
      <c r="BU66" s="29">
        <f>SUMIFS('2026'!$N$8:$N$185,'2026'!$K$8:$K$185,"&gt;2029",'2026'!$J$8:$J$185,"4",'2026'!$R$8:$R$185,"республика50м")</f>
        <v>0</v>
      </c>
      <c r="BV66" s="29">
        <f t="shared" si="152"/>
        <v>0</v>
      </c>
      <c r="BW66" s="63"/>
      <c r="BX66" s="63"/>
      <c r="BY66" s="68"/>
      <c r="BZ66" s="29">
        <f>SUMIFS('2026'!$B$8:$B$185,'2026'!$K$8:$K$185,"&gt;2029",'2026'!$J$8:$J$185,"4",'2026'!$R$8:$R$185,"область50м")</f>
        <v>0</v>
      </c>
      <c r="CA66" s="29">
        <f>SUMIFS('2026'!$N$8:$N$185,'2026'!$K$8:$K$185,"&gt;2029",'2026'!$J$8:$J$185,"4",'2026'!$R$8:$R$185,"область50м")</f>
        <v>0</v>
      </c>
      <c r="CB66" s="29">
        <f t="shared" si="154"/>
        <v>0</v>
      </c>
      <c r="CC66" s="63"/>
      <c r="CD66" s="63"/>
      <c r="CE66" s="68"/>
      <c r="CF66" s="29">
        <f>SUMIFS('2026'!$B$8:$B$185,'2026'!$K$8:$K$185,"&gt;2029",'2026'!$J$8:$J$185,"4",'2026'!$R$8:$R$185,"район50м")</f>
        <v>0</v>
      </c>
      <c r="CG66" s="29">
        <f>SUMIFS('2026'!$N$8:$N$185,'2026'!$K$8:$K$185,"&gt;2029",'2026'!$J$8:$J$185,"4",'2026'!$R$8:$R$185,"район50м")</f>
        <v>0</v>
      </c>
      <c r="CH66" s="30">
        <f t="shared" si="181"/>
        <v>0</v>
      </c>
      <c r="CI66" s="63"/>
      <c r="CJ66" s="63"/>
      <c r="CK66" s="68"/>
      <c r="CL66" s="29">
        <f>SUMIFS('2026'!$B$8:$B$185,'2026'!$K$8:$K$185,"&gt;2029",'2026'!$J$8:$J$185,"4",'2026'!$R$8:$R$185,"райпо")</f>
        <v>0</v>
      </c>
      <c r="CM66" s="29">
        <f>SUMIFS('2026'!$N$8:$N$185,'2026'!$K$8:$K$185,"&gt;2029",'2026'!$J$8:$J$185,"4",'2026'!$R$8:$R$185,"райпо")</f>
        <v>0</v>
      </c>
      <c r="CN66" s="43">
        <f t="shared" si="182"/>
        <v>0</v>
      </c>
      <c r="CO66" s="63"/>
      <c r="CP66" s="63"/>
      <c r="CQ66" s="68"/>
      <c r="CR66" s="29">
        <f>SUMIFS('2026'!$B$8:$B$185,'2026'!$K$8:$K$185,"&gt;2029",'2026'!$J$8:$J$185,"4",'2026'!$R$8:$R$185,"инаяч")</f>
        <v>0</v>
      </c>
      <c r="CS66" s="32">
        <f>SUMIFS('2026'!$N$8:$N$185,'2026'!$K$8:$K$185,"&gt;2029",'2026'!$J$8:$J$185,"4",'2026'!$R$8:$R$185,"инаяч")</f>
        <v>0</v>
      </c>
      <c r="CT66" s="44">
        <f t="shared" si="160"/>
        <v>0</v>
      </c>
      <c r="CU66" s="63"/>
      <c r="CV66" s="63"/>
      <c r="CW66" s="68"/>
      <c r="CX66" s="29">
        <f>SUMIFS('2026'!$B$8:$B$185,'2026'!$K$8:$K$185,"&gt;2029",'2026'!$J$8:$J$185,"4",'2026'!$R$8:$R$185,"бесхозяйное")</f>
        <v>0</v>
      </c>
      <c r="CY66" s="32">
        <f>SUMIFS('2026'!$N$8:$N$185,'2026'!$K$8:$K$185,"&gt;2029",'2026'!$J$8:$J$185,"4",'2026'!$R$8:$R$185,"бесхозяйное")</f>
        <v>0</v>
      </c>
      <c r="DB66" s="46">
        <f t="shared" si="123"/>
        <v>4</v>
      </c>
      <c r="DC66" s="38">
        <f t="shared" si="219"/>
        <v>0</v>
      </c>
      <c r="DD66" s="38">
        <f t="shared" si="219"/>
        <v>0</v>
      </c>
      <c r="DE66" s="39">
        <f t="shared" si="220"/>
        <v>0</v>
      </c>
      <c r="DF66" s="47">
        <f t="shared" si="221"/>
        <v>4</v>
      </c>
      <c r="DG66" s="48">
        <f t="shared" si="221"/>
        <v>26.7</v>
      </c>
      <c r="DH66" s="49">
        <f>AL66+BP66</f>
        <v>0</v>
      </c>
      <c r="DI66" s="47"/>
      <c r="DJ66" s="47"/>
      <c r="DK66" s="50"/>
      <c r="DL66" s="47">
        <f t="shared" si="222"/>
        <v>0</v>
      </c>
      <c r="DM66" s="48">
        <f t="shared" si="222"/>
        <v>0</v>
      </c>
      <c r="DN66" s="49">
        <f t="shared" si="222"/>
        <v>1</v>
      </c>
      <c r="DO66" s="47"/>
      <c r="DP66" s="47"/>
      <c r="DQ66" s="50"/>
      <c r="DR66" s="47">
        <f t="shared" si="223"/>
        <v>1</v>
      </c>
      <c r="DS66" s="48">
        <f t="shared" si="223"/>
        <v>5.5</v>
      </c>
      <c r="DT66" s="49">
        <f t="shared" si="223"/>
        <v>3</v>
      </c>
      <c r="DU66" s="47"/>
      <c r="DV66" s="47"/>
      <c r="DW66" s="50"/>
      <c r="DX66" s="47">
        <f t="shared" si="224"/>
        <v>3</v>
      </c>
      <c r="DY66" s="48">
        <f t="shared" si="224"/>
        <v>21.2</v>
      </c>
    </row>
    <row r="67" spans="1:129" s="45" customFormat="1" ht="15.75" customHeight="1" thickBot="1" x14ac:dyDescent="0.3">
      <c r="A67" s="69" t="s">
        <v>191</v>
      </c>
      <c r="B67" s="70">
        <f t="shared" si="127"/>
        <v>6</v>
      </c>
      <c r="C67" s="71"/>
      <c r="D67" s="71"/>
      <c r="E67" s="72"/>
      <c r="F67" s="70">
        <f t="shared" si="129"/>
        <v>6</v>
      </c>
      <c r="G67" s="73">
        <f t="shared" si="129"/>
        <v>25.7</v>
      </c>
      <c r="H67" s="74">
        <f t="shared" si="169"/>
        <v>0</v>
      </c>
      <c r="I67" s="75"/>
      <c r="J67" s="75"/>
      <c r="K67" s="76"/>
      <c r="L67" s="70">
        <f t="shared" si="171"/>
        <v>0</v>
      </c>
      <c r="M67" s="73">
        <f t="shared" si="171"/>
        <v>0</v>
      </c>
      <c r="N67" s="74">
        <f t="shared" si="172"/>
        <v>0</v>
      </c>
      <c r="O67" s="77"/>
      <c r="P67" s="77"/>
      <c r="Q67" s="78"/>
      <c r="R67" s="70">
        <f>SUMIFS('2026'!$B$8:$B$185,'2026'!$K$8:$K$185,"&gt;2029",'2026'!$J$8:$J$185,"&gt;4",'2026'!$R$8:$R$185,"республика")</f>
        <v>0</v>
      </c>
      <c r="S67" s="70">
        <f>SUMIFS('2026'!$N$8:$N$185,'2026'!$K$8:$K$185,"&gt;2029",'2026'!$J$8:$J$185,"&gt;4",'2026'!$R$8:$R$185,"республика")</f>
        <v>0</v>
      </c>
      <c r="T67" s="70">
        <f t="shared" si="173"/>
        <v>0</v>
      </c>
      <c r="U67" s="77"/>
      <c r="V67" s="77"/>
      <c r="W67" s="78"/>
      <c r="X67" s="70">
        <f>SUMIFS('2026'!$B$8:$B$185,'2026'!$K$8:$K$185,"&gt;2029",'2026'!$J$8:$J$185,"&gt;4",'2026'!$R$8:$R$185,"область")</f>
        <v>0</v>
      </c>
      <c r="Y67" s="70">
        <f>SUMIFS('2026'!$N$8:$N$185,'2026'!$K$8:$K$185,"&gt;2029",'2026'!$J$8:$J$185,"&gt;4",'2026'!$R$8:$R$185,"область")</f>
        <v>0</v>
      </c>
      <c r="Z67" s="70">
        <f t="shared" si="136"/>
        <v>0</v>
      </c>
      <c r="AA67" s="77"/>
      <c r="AB67" s="77"/>
      <c r="AC67" s="78"/>
      <c r="AD67" s="70">
        <f>SUMIFS('2026'!$B$8:$B$185,'2026'!$K$8:$K$185,"&gt;2029",'2026'!$J$8:$J$185,"&gt;4",'2026'!$R$8:$R$185,"район")</f>
        <v>0</v>
      </c>
      <c r="AE67" s="73">
        <f>SUMIFS('2026'!$N$8:$N$185,'2026'!$K$8:$K$185,"&gt;2029",'2026'!$J$8:$J$185,"&gt;4",'2026'!$R$8:$R$185,"район")</f>
        <v>0</v>
      </c>
      <c r="AF67" s="79">
        <f t="shared" si="138"/>
        <v>6</v>
      </c>
      <c r="AG67" s="80"/>
      <c r="AH67" s="80"/>
      <c r="AI67" s="81"/>
      <c r="AJ67" s="70">
        <f>AP67+AV67+BB67</f>
        <v>6</v>
      </c>
      <c r="AK67" s="73">
        <f t="shared" si="208"/>
        <v>25.7</v>
      </c>
      <c r="AL67" s="79">
        <f t="shared" si="140"/>
        <v>0</v>
      </c>
      <c r="AM67" s="77"/>
      <c r="AN67" s="77"/>
      <c r="AO67" s="78"/>
      <c r="AP67" s="70">
        <f>SUMIFS('2026'!$B$8:$B$185,'2026'!$K$8:$K$185,"&gt;2029",'2026'!$J$8:$J$185,"&gt;4",'2026'!$R$8:$R$185,"республика50б")</f>
        <v>0</v>
      </c>
      <c r="AQ67" s="70">
        <f>SUMIFS('2026'!$N$8:$N$185,'2026'!$K$8:$K$185,"&gt;2029",'2026'!$J$8:$J$185,"&gt;4",'2026'!$R$8:$R$185,"республика50б")</f>
        <v>0</v>
      </c>
      <c r="AR67" s="70">
        <f t="shared" si="142"/>
        <v>5</v>
      </c>
      <c r="AS67" s="77"/>
      <c r="AT67" s="77"/>
      <c r="AU67" s="78"/>
      <c r="AV67" s="70">
        <f>SUMIFS('2026'!$B$8:$B$185,'2026'!$K$8:$K$185,"&gt;2029",'2026'!$J$8:$J$185,"&gt;4",'2026'!$R$8:$R$185,"область50б")</f>
        <v>5</v>
      </c>
      <c r="AW67" s="70">
        <f>SUMIFS('2026'!$N$8:$N$185,'2026'!$K$8:$K$185,"&gt;2029",'2026'!$J$8:$J$185,"&gt;4",'2026'!$R$8:$R$185,"область50б")</f>
        <v>15.7</v>
      </c>
      <c r="AX67" s="70">
        <f t="shared" si="144"/>
        <v>1</v>
      </c>
      <c r="AY67" s="77"/>
      <c r="AZ67" s="77"/>
      <c r="BA67" s="78"/>
      <c r="BB67" s="70">
        <f>SUMIFS('2026'!$B$8:$B$185,'2026'!$K$8:$K$185,"&gt;2029",'2026'!$J$8:$J$185,"&gt;4",'2026'!$R$8:$R$185,"район50б")</f>
        <v>1</v>
      </c>
      <c r="BC67" s="73">
        <f>SUMIFS('2026'!$N$8:$N$185,'2026'!$K$8:$K$185,"&gt;2029",'2026'!$J$8:$J$185,"&gt;4",'2026'!$R$8:$R$185,"район50б")</f>
        <v>10</v>
      </c>
      <c r="BD67" s="79">
        <f t="shared" si="176"/>
        <v>0</v>
      </c>
      <c r="BE67" s="82">
        <f t="shared" si="177"/>
        <v>0</v>
      </c>
      <c r="BF67" s="82">
        <f t="shared" si="177"/>
        <v>0</v>
      </c>
      <c r="BG67" s="83"/>
      <c r="BH67" s="70">
        <f t="shared" si="190"/>
        <v>0</v>
      </c>
      <c r="BI67" s="73">
        <f t="shared" si="183"/>
        <v>0</v>
      </c>
      <c r="BJ67" s="79">
        <f t="shared" si="178"/>
        <v>0</v>
      </c>
      <c r="BK67" s="84"/>
      <c r="BL67" s="84"/>
      <c r="BM67" s="83"/>
      <c r="BN67" s="70">
        <f>BT67+BZ67+CF67</f>
        <v>0</v>
      </c>
      <c r="BO67" s="70">
        <f t="shared" si="209"/>
        <v>0</v>
      </c>
      <c r="BP67" s="70">
        <f t="shared" si="150"/>
        <v>0</v>
      </c>
      <c r="BQ67" s="77"/>
      <c r="BR67" s="77"/>
      <c r="BS67" s="78"/>
      <c r="BT67" s="70">
        <f>SUMIFS('2026'!$B$8:$B$185,'2026'!$K$8:$K$185,"&gt;2029",'2026'!$J$8:$J$185,"&gt;4",'2026'!$R$8:$R$185,"республика50м")</f>
        <v>0</v>
      </c>
      <c r="BU67" s="70">
        <f>SUMIFS('2026'!$N$8:$N$185,'2026'!$K$8:$K$185,"&gt;2029",'2026'!$J$8:$J$185,"&gt;4",'2026'!$R$8:$R$185,"республика50м")</f>
        <v>0</v>
      </c>
      <c r="BV67" s="70">
        <f t="shared" si="152"/>
        <v>0</v>
      </c>
      <c r="BW67" s="77"/>
      <c r="BX67" s="77"/>
      <c r="BY67" s="78"/>
      <c r="BZ67" s="70">
        <f>SUMIFS('2026'!$B$8:$B$185,'2026'!$K$8:$K$185,"&gt;2029",'2026'!$J$8:$J$185,"&gt;4",'2026'!$R$8:$R$185,"область50м")</f>
        <v>0</v>
      </c>
      <c r="CA67" s="70">
        <f>SUMIFS('2026'!$N$8:$N$185,'2026'!$K$8:$K$185,"&gt;2029",'2026'!$J$8:$J$185,"&gt;4",'2026'!$R$8:$R$185,"область50м")</f>
        <v>0</v>
      </c>
      <c r="CB67" s="70">
        <f t="shared" si="154"/>
        <v>0</v>
      </c>
      <c r="CC67" s="77"/>
      <c r="CD67" s="77"/>
      <c r="CE67" s="78"/>
      <c r="CF67" s="70">
        <f>SUMIFS('2026'!$B$8:$B$185,'2026'!$K$8:$K$185,"&gt;2029",'2026'!$J$8:$J$185,"&gt;4",'2026'!$R$8:$R$185,"район50м")</f>
        <v>0</v>
      </c>
      <c r="CG67" s="70">
        <f>SUMIFS('2026'!$N$8:$N$185,'2026'!$K$8:$K$185,"&gt;2029",'2026'!$J$8:$J$185,"&gt;4",'2026'!$R$8:$R$185,"район50м")</f>
        <v>0</v>
      </c>
      <c r="CH67" s="71">
        <f t="shared" si="181"/>
        <v>0</v>
      </c>
      <c r="CI67" s="77"/>
      <c r="CJ67" s="77"/>
      <c r="CK67" s="78"/>
      <c r="CL67" s="70">
        <f>SUMIFS('2026'!$B$8:$B$185,'2026'!$K$8:$K$185,"&gt;2029",'2026'!$J$8:$J$185,"&gt;4",'2026'!$R$8:$R$185,"райпо")</f>
        <v>0</v>
      </c>
      <c r="CM67" s="70">
        <f>SUMIFS('2026'!$N$8:$N$185,'2026'!$K$8:$K$185,"&gt;2029",'2026'!$J$8:$J$185,"&gt;4",'2026'!$R$8:$R$185,"райпо")</f>
        <v>0</v>
      </c>
      <c r="CN67" s="85">
        <f t="shared" si="182"/>
        <v>0</v>
      </c>
      <c r="CO67" s="77"/>
      <c r="CP67" s="77"/>
      <c r="CQ67" s="78"/>
      <c r="CR67" s="70">
        <f>SUMIFS('2026'!$B$8:$B$185,'2026'!$K$8:$K$185,"&gt;2029",'2026'!$J$8:$J$185,"&gt;4",'2026'!$R$8:$R$185,"инаяч")</f>
        <v>0</v>
      </c>
      <c r="CS67" s="73">
        <f>SUMIFS('2026'!$N$8:$N$185,'2026'!$K$8:$K$185,"&gt;2029",'2026'!$J$8:$J$185,"&gt;4",'2026'!$R$8:$R$185,"инаяч")</f>
        <v>0</v>
      </c>
      <c r="CT67" s="86">
        <f t="shared" si="160"/>
        <v>0</v>
      </c>
      <c r="CU67" s="77"/>
      <c r="CV67" s="77"/>
      <c r="CW67" s="78"/>
      <c r="CX67" s="70">
        <f>SUMIFS('2026'!$B$8:$B$185,'2026'!$K$8:$K$185,"&gt;2029",'2026'!$J$8:$J$185,"&gt;4",'2026'!$R$8:$R$185,"бесхозяйное")</f>
        <v>0</v>
      </c>
      <c r="CY67" s="73">
        <f>SUMIFS('2026'!$N$8:$N$185,'2026'!$K$8:$K$185,"&gt;2029",'2026'!$J$8:$J$185,"&gt;4",'2026'!$R$8:$R$185,"бесхозяйное")</f>
        <v>0</v>
      </c>
      <c r="DB67" s="87">
        <f t="shared" si="123"/>
        <v>6</v>
      </c>
      <c r="DC67" s="88">
        <f t="shared" si="219"/>
        <v>0</v>
      </c>
      <c r="DD67" s="88">
        <f t="shared" si="219"/>
        <v>0</v>
      </c>
      <c r="DE67" s="89">
        <f t="shared" si="220"/>
        <v>0</v>
      </c>
      <c r="DF67" s="90">
        <f t="shared" si="221"/>
        <v>6</v>
      </c>
      <c r="DG67" s="91">
        <f t="shared" si="221"/>
        <v>25.7</v>
      </c>
      <c r="DH67" s="92">
        <f>AL67+BP67</f>
        <v>0</v>
      </c>
      <c r="DI67" s="90"/>
      <c r="DJ67" s="90"/>
      <c r="DK67" s="93"/>
      <c r="DL67" s="90">
        <f t="shared" si="222"/>
        <v>0</v>
      </c>
      <c r="DM67" s="91">
        <f t="shared" si="222"/>
        <v>0</v>
      </c>
      <c r="DN67" s="92">
        <f t="shared" si="222"/>
        <v>5</v>
      </c>
      <c r="DO67" s="90"/>
      <c r="DP67" s="90"/>
      <c r="DQ67" s="93"/>
      <c r="DR67" s="90">
        <f t="shared" si="223"/>
        <v>5</v>
      </c>
      <c r="DS67" s="91">
        <f t="shared" si="223"/>
        <v>15.7</v>
      </c>
      <c r="DT67" s="92">
        <f t="shared" si="223"/>
        <v>1</v>
      </c>
      <c r="DU67" s="90"/>
      <c r="DV67" s="90"/>
      <c r="DW67" s="93"/>
      <c r="DX67" s="90">
        <f t="shared" si="224"/>
        <v>1</v>
      </c>
      <c r="DY67" s="91">
        <f t="shared" si="224"/>
        <v>10</v>
      </c>
    </row>
  </sheetData>
  <sheetProtection algorithmName="SHA-512" hashValue="2on3wCmDsNictIntnMaA92jPS6nlvMua10k8VEZjCBFlN68WLpsbMtG1Xq3dJemsl+KeKKAcL70Cv/uYHJ7+Cg==" saltValue="1a5ZVa/0N2+m9J+waJ7HJQ==" spinCount="100000" sheet="1" objects="1" scenarios="1"/>
  <mergeCells count="110">
    <mergeCell ref="A1:A4"/>
    <mergeCell ref="B1:G2"/>
    <mergeCell ref="H1:AE1"/>
    <mergeCell ref="AF1:BC1"/>
    <mergeCell ref="BD1:CS1"/>
    <mergeCell ref="CT1:CY2"/>
    <mergeCell ref="BJ2:BO2"/>
    <mergeCell ref="BP2:BU2"/>
    <mergeCell ref="BV2:CA2"/>
    <mergeCell ref="CB2:CG2"/>
    <mergeCell ref="CH2:CM2"/>
    <mergeCell ref="CN2:CS2"/>
    <mergeCell ref="L3:L4"/>
    <mergeCell ref="M3:M4"/>
    <mergeCell ref="N3:N4"/>
    <mergeCell ref="O3:Q3"/>
    <mergeCell ref="R3:R4"/>
    <mergeCell ref="S3:S4"/>
    <mergeCell ref="B3:B4"/>
    <mergeCell ref="C3:E3"/>
    <mergeCell ref="F3:F4"/>
    <mergeCell ref="G3:G4"/>
    <mergeCell ref="H3:H4"/>
    <mergeCell ref="I3:K3"/>
    <mergeCell ref="DB2:DG2"/>
    <mergeCell ref="DH2:DM2"/>
    <mergeCell ref="DN2:DS2"/>
    <mergeCell ref="DT2:DY2"/>
    <mergeCell ref="DB1:DY1"/>
    <mergeCell ref="H2:M2"/>
    <mergeCell ref="N2:S2"/>
    <mergeCell ref="T2:Y2"/>
    <mergeCell ref="Z2:AE2"/>
    <mergeCell ref="AF2:AK2"/>
    <mergeCell ref="AL2:AQ2"/>
    <mergeCell ref="AR2:AW2"/>
    <mergeCell ref="AX2:BC2"/>
    <mergeCell ref="BD2:BI2"/>
    <mergeCell ref="AD3:AD4"/>
    <mergeCell ref="AE3:AE4"/>
    <mergeCell ref="AF3:AF4"/>
    <mergeCell ref="AG3:AI3"/>
    <mergeCell ref="AJ3:AJ4"/>
    <mergeCell ref="AK3:AK4"/>
    <mergeCell ref="T3:T4"/>
    <mergeCell ref="U3:W3"/>
    <mergeCell ref="X3:X4"/>
    <mergeCell ref="Y3:Y4"/>
    <mergeCell ref="Z3:Z4"/>
    <mergeCell ref="AA3:AC3"/>
    <mergeCell ref="AV3:AV4"/>
    <mergeCell ref="AW3:AW4"/>
    <mergeCell ref="AX3:AX4"/>
    <mergeCell ref="AY3:BA3"/>
    <mergeCell ref="BB3:BB4"/>
    <mergeCell ref="BC3:BC4"/>
    <mergeCell ref="AL3:AL4"/>
    <mergeCell ref="AM3:AO3"/>
    <mergeCell ref="AP3:AP4"/>
    <mergeCell ref="AQ3:AQ4"/>
    <mergeCell ref="AR3:AR4"/>
    <mergeCell ref="AS3:AU3"/>
    <mergeCell ref="BN3:BN4"/>
    <mergeCell ref="BO3:BO4"/>
    <mergeCell ref="BP3:BP4"/>
    <mergeCell ref="BQ3:BS3"/>
    <mergeCell ref="BT3:BT4"/>
    <mergeCell ref="BU3:BU4"/>
    <mergeCell ref="BD3:BD4"/>
    <mergeCell ref="BE3:BG3"/>
    <mergeCell ref="BH3:BH4"/>
    <mergeCell ref="BI3:BI4"/>
    <mergeCell ref="BJ3:BJ4"/>
    <mergeCell ref="BK3:BM3"/>
    <mergeCell ref="CF3:CF4"/>
    <mergeCell ref="CG3:CG4"/>
    <mergeCell ref="CH3:CH4"/>
    <mergeCell ref="CI3:CK3"/>
    <mergeCell ref="CL3:CL4"/>
    <mergeCell ref="CM3:CM4"/>
    <mergeCell ref="BV3:BV4"/>
    <mergeCell ref="BW3:BY3"/>
    <mergeCell ref="BZ3:BZ4"/>
    <mergeCell ref="CA3:CA4"/>
    <mergeCell ref="CB3:CB4"/>
    <mergeCell ref="CC3:CE3"/>
    <mergeCell ref="CX3:CX4"/>
    <mergeCell ref="CY3:CY4"/>
    <mergeCell ref="DB3:DB4"/>
    <mergeCell ref="DC3:DE3"/>
    <mergeCell ref="DF3:DF4"/>
    <mergeCell ref="DG3:DG4"/>
    <mergeCell ref="CN3:CN4"/>
    <mergeCell ref="CO3:CQ3"/>
    <mergeCell ref="CR3:CR4"/>
    <mergeCell ref="CS3:CS4"/>
    <mergeCell ref="CT3:CT4"/>
    <mergeCell ref="CU3:CW3"/>
    <mergeCell ref="DR3:DR4"/>
    <mergeCell ref="DS3:DS4"/>
    <mergeCell ref="DT3:DT4"/>
    <mergeCell ref="DU3:DW3"/>
    <mergeCell ref="DX3:DX4"/>
    <mergeCell ref="DY3:DY4"/>
    <mergeCell ref="DH3:DH4"/>
    <mergeCell ref="DI3:DK3"/>
    <mergeCell ref="DL3:DL4"/>
    <mergeCell ref="DM3:DM4"/>
    <mergeCell ref="DN3:DN4"/>
    <mergeCell ref="DO3:DQ3"/>
  </mergeCells>
  <pageMargins left="0.11811023622047245" right="0.11811023622047245" top="0.74803149606299213" bottom="0.74803149606299213" header="0.31496062992125984" footer="0.31496062992125984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счет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Паршуто Ольга Анатольевна</cp:lastModifiedBy>
  <cp:lastPrinted>2026-02-06T07:20:53Z</cp:lastPrinted>
  <dcterms:created xsi:type="dcterms:W3CDTF">2021-12-30T06:49:51Z</dcterms:created>
  <dcterms:modified xsi:type="dcterms:W3CDTF">2026-05-06T13:03:56Z</dcterms:modified>
</cp:coreProperties>
</file>